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1\AppData\Local\Microsoft\Windows\INetCache\Content.Outlook\TOK8KU82\"/>
    </mc:Choice>
  </mc:AlternateContent>
  <bookViews>
    <workbookView xWindow="0" yWindow="0" windowWidth="24000" windowHeight="9735" firstSheet="2" activeTab="7"/>
  </bookViews>
  <sheets>
    <sheet name="Személyi Önkormányzat" sheetId="6" state="hidden" r:id="rId1"/>
    <sheet name="Személyi KÖH" sheetId="4" state="hidden" r:id="rId2"/>
    <sheet name="KÖH kiadás" sheetId="37" r:id="rId3"/>
    <sheet name="KÖH bevétel" sheetId="38" r:id="rId4"/>
    <sheet name="ÖNK kiadás cofogra" sheetId="41" state="hidden" r:id="rId5"/>
    <sheet name="ÖNK bevétel cofogra" sheetId="42" state="hidden" r:id="rId6"/>
    <sheet name="Önkorm bevételek" sheetId="7" r:id="rId7"/>
    <sheet name="Önkorm. kiadások" sheetId="8" r:id="rId8"/>
    <sheet name="Rendeletbe" sheetId="11" r:id="rId9"/>
    <sheet name="Kiemelt EI." sheetId="16" r:id="rId10"/>
    <sheet name="Kiadások ÖNK" sheetId="17" r:id="rId11"/>
    <sheet name="Kiadások KÖH" sheetId="12" r:id="rId12"/>
    <sheet name="Kiadások összesen" sheetId="28" r:id="rId13"/>
    <sheet name="Bevételek ÖNK" sheetId="18" r:id="rId14"/>
    <sheet name="Bevételek KÖH" sheetId="13" r:id="rId15"/>
    <sheet name="Bevételek összesen" sheetId="29" r:id="rId16"/>
    <sheet name="Átvett pe." sheetId="19" r:id="rId17"/>
    <sheet name="Átadott pe." sheetId="20" r:id="rId18"/>
    <sheet name="Szociális kiadások" sheetId="21" r:id="rId19"/>
    <sheet name="Tartalékok" sheetId="22" r:id="rId20"/>
    <sheet name="Beruházások felújítások" sheetId="23" r:id="rId21"/>
    <sheet name="Helyi adók" sheetId="24" r:id="rId22"/>
    <sheet name="Létszám " sheetId="25" r:id="rId23"/>
    <sheet name="Intfin" sheetId="26" r:id="rId24"/>
    <sheet name="Gördülő" sheetId="27" r:id="rId25"/>
    <sheet name="Táblázat KÖH határozatba" sheetId="32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4" hidden="1">'ÖNK kiadás cofogra'!$D$1:$D$901</definedName>
    <definedName name="_xlnm.Print_Area" localSheetId="17">'Átadott pe.'!$A$1:$D$119</definedName>
    <definedName name="_xlnm.Print_Area" localSheetId="16">'Átvett pe.'!$A$1:$D$117</definedName>
    <definedName name="_xlnm.Print_Area" localSheetId="20">'Beruházások felújítások'!$A$1:$F$47</definedName>
    <definedName name="_xlnm.Print_Area" localSheetId="14">'Bevételek KÖH'!$A$1:$F$98</definedName>
    <definedName name="_xlnm.Print_Area" localSheetId="13">'Bevételek ÖNK'!$A$1:$F$97</definedName>
    <definedName name="_xlnm.Print_Area" localSheetId="15">'Bevételek összesen'!$A$1:$F$97</definedName>
    <definedName name="_xlnm.Print_Area" localSheetId="11">'Kiadások KÖH'!$A$1:$F$123</definedName>
    <definedName name="_xlnm.Print_Area" localSheetId="10">'Kiadások ÖNK'!$A$1:$F$123</definedName>
    <definedName name="_xlnm.Print_Area" localSheetId="12">'Kiadások összesen'!$A$1:$F$123</definedName>
    <definedName name="_xlnm.Print_Area" localSheetId="9">'Kiemelt EI.'!$A$1:$C$27</definedName>
    <definedName name="_xlnm.Print_Area" localSheetId="6">'Önkorm bevételek'!$A$1:$E$121</definedName>
    <definedName name="_xlnm.Print_Area" localSheetId="7">'Önkorm. kiadások'!$A$1:$E$52</definedName>
    <definedName name="_xlnm.Print_Area" localSheetId="1">'Személyi KÖH'!$A$1:$D$116</definedName>
    <definedName name="_xlnm.Print_Area" localSheetId="18">'Szociális kiadások'!$A$1:$D$43</definedName>
    <definedName name="_xlnm.Print_Area" localSheetId="19">Tartalékok!$A$1:$D$17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8" l="1"/>
  <c r="D39" i="18"/>
  <c r="E222" i="42"/>
  <c r="E91" i="7"/>
  <c r="E47" i="42"/>
  <c r="F46" i="42"/>
  <c r="E43" i="42"/>
  <c r="C96" i="4"/>
  <c r="D96" i="4" s="1"/>
  <c r="C95" i="4"/>
  <c r="C94" i="4"/>
  <c r="C93" i="4"/>
  <c r="C67" i="4"/>
  <c r="D67" i="4" s="1"/>
  <c r="C65" i="4"/>
  <c r="C45" i="4"/>
  <c r="D42" i="4"/>
  <c r="D43" i="4"/>
  <c r="D44" i="4"/>
  <c r="D45" i="4"/>
  <c r="C43" i="4"/>
  <c r="C41" i="4"/>
  <c r="C15" i="4"/>
  <c r="C14" i="4"/>
  <c r="D14" i="4" s="1"/>
  <c r="C12" i="4"/>
  <c r="C11" i="4"/>
  <c r="C10" i="4"/>
  <c r="D141" i="6"/>
  <c r="D140" i="6"/>
  <c r="C172" i="6"/>
  <c r="C171" i="6"/>
  <c r="D158" i="6"/>
  <c r="C158" i="6"/>
  <c r="C157" i="6"/>
  <c r="C134" i="6"/>
  <c r="C133" i="6"/>
  <c r="C116" i="6"/>
  <c r="C115" i="6"/>
  <c r="C96" i="6"/>
  <c r="C95" i="6"/>
  <c r="C80" i="6"/>
  <c r="C79" i="6"/>
  <c r="C58" i="6"/>
  <c r="C57" i="6"/>
  <c r="C33" i="6"/>
  <c r="C32" i="6"/>
  <c r="C8" i="6"/>
  <c r="F93" i="42"/>
  <c r="C118" i="7"/>
  <c r="D118" i="7"/>
  <c r="D79" i="28" l="1"/>
  <c r="C10" i="11" l="1"/>
  <c r="D78" i="17"/>
  <c r="B23" i="8"/>
  <c r="D45" i="8"/>
  <c r="F174" i="42"/>
  <c r="E221" i="42" s="1"/>
  <c r="E90" i="7" s="1"/>
  <c r="E785" i="41"/>
  <c r="D48" i="7"/>
  <c r="D39" i="8"/>
  <c r="F794" i="41"/>
  <c r="E793" i="41"/>
  <c r="E791" i="41"/>
  <c r="E226" i="42" l="1"/>
  <c r="E223" i="42"/>
  <c r="D216" i="42"/>
  <c r="D214" i="42"/>
  <c r="D211" i="42"/>
  <c r="D209" i="42"/>
  <c r="D207" i="42"/>
  <c r="D206" i="42"/>
  <c r="D205" i="42"/>
  <c r="E202" i="42"/>
  <c r="E201" i="42"/>
  <c r="D196" i="42"/>
  <c r="E196" i="42" s="1"/>
  <c r="D194" i="42"/>
  <c r="D193" i="42"/>
  <c r="D187" i="42"/>
  <c r="D186" i="42"/>
  <c r="D185" i="42"/>
  <c r="D184" i="42"/>
  <c r="D183" i="42"/>
  <c r="D182" i="42"/>
  <c r="D181" i="42"/>
  <c r="C642" i="41" l="1"/>
  <c r="E72" i="42"/>
  <c r="D197" i="42" s="1"/>
  <c r="E197" i="42" s="1"/>
  <c r="E344" i="37"/>
  <c r="E343" i="37"/>
  <c r="E341" i="37"/>
  <c r="E340" i="37"/>
  <c r="E338" i="37"/>
  <c r="E337" i="37"/>
  <c r="E335" i="37"/>
  <c r="E334" i="37"/>
  <c r="E264" i="37"/>
  <c r="E263" i="37"/>
  <c r="E261" i="37"/>
  <c r="E260" i="37"/>
  <c r="E195" i="37"/>
  <c r="E194" i="37"/>
  <c r="E192" i="37"/>
  <c r="E191" i="37"/>
  <c r="D279" i="37" l="1"/>
  <c r="C369" i="37"/>
  <c r="E189" i="37"/>
  <c r="E188" i="37"/>
  <c r="E107" i="37"/>
  <c r="E106" i="37"/>
  <c r="E104" i="37"/>
  <c r="E103" i="37"/>
  <c r="E101" i="37"/>
  <c r="E100" i="37"/>
  <c r="E98" i="37"/>
  <c r="E97" i="37"/>
  <c r="E95" i="37"/>
  <c r="E94" i="37"/>
  <c r="D666" i="41"/>
  <c r="C643" i="41"/>
  <c r="E679" i="41"/>
  <c r="E677" i="41"/>
  <c r="E297" i="41"/>
  <c r="F299" i="41" s="1"/>
  <c r="D295" i="41"/>
  <c r="E294" i="41" s="1"/>
  <c r="F296" i="41" s="1"/>
  <c r="D631" i="41"/>
  <c r="D630" i="41"/>
  <c r="D40" i="23"/>
  <c r="D43" i="23"/>
  <c r="D42" i="23"/>
  <c r="D32" i="23"/>
  <c r="D31" i="23"/>
  <c r="D41" i="23"/>
  <c r="D30" i="23"/>
  <c r="D95" i="29"/>
  <c r="D93" i="29"/>
  <c r="D92" i="29"/>
  <c r="D91" i="29"/>
  <c r="D90" i="29"/>
  <c r="D88" i="29"/>
  <c r="D87" i="29"/>
  <c r="D85" i="29"/>
  <c r="D84" i="29"/>
  <c r="D82" i="29"/>
  <c r="D81" i="29"/>
  <c r="D80" i="29"/>
  <c r="D77" i="29"/>
  <c r="D76" i="29"/>
  <c r="D75" i="29"/>
  <c r="D74" i="29"/>
  <c r="D72" i="29"/>
  <c r="D71" i="29"/>
  <c r="D70" i="29"/>
  <c r="D64" i="29"/>
  <c r="D62" i="29"/>
  <c r="D60" i="29"/>
  <c r="D59" i="29"/>
  <c r="D58" i="29"/>
  <c r="D56" i="29"/>
  <c r="D53" i="29"/>
  <c r="D52" i="29"/>
  <c r="D51" i="29"/>
  <c r="D47" i="29"/>
  <c r="D46" i="29"/>
  <c r="D45" i="29"/>
  <c r="D42" i="29"/>
  <c r="D40" i="29"/>
  <c r="D39" i="29"/>
  <c r="D38" i="29"/>
  <c r="D34" i="29"/>
  <c r="D29" i="29"/>
  <c r="D28" i="29"/>
  <c r="D27" i="29"/>
  <c r="D24" i="29"/>
  <c r="D23" i="29"/>
  <c r="D21" i="29"/>
  <c r="D20" i="29"/>
  <c r="D17" i="29"/>
  <c r="D15" i="29"/>
  <c r="D14" i="29"/>
  <c r="D12" i="29"/>
  <c r="D119" i="28"/>
  <c r="D118" i="28"/>
  <c r="D117" i="28"/>
  <c r="D116" i="28"/>
  <c r="D114" i="28"/>
  <c r="D113" i="28"/>
  <c r="D112" i="28"/>
  <c r="D109" i="28"/>
  <c r="D107" i="28"/>
  <c r="D106" i="28"/>
  <c r="D105" i="28"/>
  <c r="D104" i="28"/>
  <c r="D102" i="28"/>
  <c r="D101" i="28"/>
  <c r="D100" i="28"/>
  <c r="D96" i="28"/>
  <c r="D95" i="28"/>
  <c r="D94" i="28"/>
  <c r="D93" i="28"/>
  <c r="D92" i="28"/>
  <c r="D91" i="28"/>
  <c r="D90" i="28"/>
  <c r="D89" i="28"/>
  <c r="D58" i="28"/>
  <c r="D57" i="28"/>
  <c r="D56" i="28"/>
  <c r="D55" i="28"/>
  <c r="D54" i="28"/>
  <c r="D53" i="28"/>
  <c r="D52" i="28"/>
  <c r="D98" i="7"/>
  <c r="C98" i="7"/>
  <c r="E32" i="8"/>
  <c r="E56" i="42"/>
  <c r="F227" i="42"/>
  <c r="D57" i="18" s="1"/>
  <c r="D57" i="29" s="1"/>
  <c r="E232" i="42"/>
  <c r="F233" i="42" s="1"/>
  <c r="D79" i="18" s="1"/>
  <c r="E779" i="41"/>
  <c r="C15" i="11" l="1"/>
  <c r="F681" i="41"/>
  <c r="C127" i="37"/>
  <c r="C215" i="37"/>
  <c r="A129" i="37"/>
  <c r="D129" i="37" s="1"/>
  <c r="D44" i="23"/>
  <c r="E96" i="7"/>
  <c r="E98" i="7" s="1"/>
  <c r="E722" i="41"/>
  <c r="E778" i="41" s="1"/>
  <c r="D721" i="41"/>
  <c r="E720" i="41" s="1"/>
  <c r="F691" i="41"/>
  <c r="D712" i="41"/>
  <c r="D711" i="41"/>
  <c r="F579" i="41"/>
  <c r="D587" i="41"/>
  <c r="C598" i="41" s="1"/>
  <c r="D586" i="41"/>
  <c r="C597" i="41" s="1"/>
  <c r="E520" i="41"/>
  <c r="D516" i="41"/>
  <c r="D498" i="41"/>
  <c r="C514" i="41" s="1"/>
  <c r="D514" i="41" s="1"/>
  <c r="D497" i="41"/>
  <c r="C513" i="41" s="1"/>
  <c r="D435" i="41"/>
  <c r="D434" i="41"/>
  <c r="D433" i="41"/>
  <c r="D432" i="41"/>
  <c r="D388" i="41"/>
  <c r="D380" i="41"/>
  <c r="E379" i="41" s="1"/>
  <c r="D357" i="41"/>
  <c r="C370" i="41" s="1"/>
  <c r="D370" i="41" s="1"/>
  <c r="D356" i="41"/>
  <c r="E341" i="41"/>
  <c r="D326" i="41"/>
  <c r="D325" i="41"/>
  <c r="D324" i="41"/>
  <c r="D323" i="41"/>
  <c r="E355" i="41" l="1"/>
  <c r="E710" i="41"/>
  <c r="F714" i="41" s="1"/>
  <c r="D26" i="8" s="1"/>
  <c r="F580" i="41"/>
  <c r="D37" i="8"/>
  <c r="E37" i="8" s="1"/>
  <c r="F692" i="41"/>
  <c r="D40" i="8"/>
  <c r="E40" i="8" s="1"/>
  <c r="F724" i="41"/>
  <c r="E770" i="41"/>
  <c r="D35" i="17" s="1"/>
  <c r="D35" i="28" s="1"/>
  <c r="C455" i="41"/>
  <c r="D455" i="41" s="1"/>
  <c r="C333" i="41"/>
  <c r="D333" i="41" s="1"/>
  <c r="E585" i="41"/>
  <c r="E496" i="41"/>
  <c r="C454" i="41"/>
  <c r="D454" i="41" s="1"/>
  <c r="C369" i="41"/>
  <c r="D369" i="41" s="1"/>
  <c r="D368" i="41" s="1"/>
  <c r="C334" i="41"/>
  <c r="D334" i="41" s="1"/>
  <c r="E322" i="41"/>
  <c r="E302" i="41"/>
  <c r="E300" i="41"/>
  <c r="B6" i="37"/>
  <c r="D218" i="41"/>
  <c r="D217" i="41"/>
  <c r="D216" i="41"/>
  <c r="D215" i="41"/>
  <c r="F304" i="41" l="1"/>
  <c r="F305" i="41" s="1"/>
  <c r="D43" i="8" s="1"/>
  <c r="E43" i="8" s="1"/>
  <c r="D51" i="20"/>
  <c r="D332" i="41"/>
  <c r="F725" i="41"/>
  <c r="D33" i="8"/>
  <c r="E33" i="8" s="1"/>
  <c r="C221" i="41"/>
  <c r="D221" i="41" s="1"/>
  <c r="E214" i="41"/>
  <c r="C220" i="41"/>
  <c r="D220" i="41" s="1"/>
  <c r="F50" i="42"/>
  <c r="D105" i="41"/>
  <c r="D8" i="41"/>
  <c r="C28" i="41" s="1"/>
  <c r="D7" i="41"/>
  <c r="C27" i="41" s="1"/>
  <c r="E219" i="41" l="1"/>
  <c r="E105" i="37"/>
  <c r="E102" i="37"/>
  <c r="E99" i="37"/>
  <c r="E96" i="37"/>
  <c r="E93" i="37"/>
  <c r="D110" i="37"/>
  <c r="D130" i="37" l="1"/>
  <c r="C128" i="37"/>
  <c r="D128" i="37" s="1"/>
  <c r="F92" i="37"/>
  <c r="D127" i="37"/>
  <c r="E342" i="37"/>
  <c r="E339" i="37"/>
  <c r="E336" i="37"/>
  <c r="E333" i="37"/>
  <c r="E262" i="37"/>
  <c r="E259" i="37"/>
  <c r="D215" i="37"/>
  <c r="E193" i="37"/>
  <c r="E190" i="37"/>
  <c r="E187" i="37"/>
  <c r="D281" i="37" l="1"/>
  <c r="E281" i="37" s="1"/>
  <c r="C368" i="37"/>
  <c r="D368" i="37" s="1"/>
  <c r="F332" i="37"/>
  <c r="E279" i="37"/>
  <c r="C214" i="37"/>
  <c r="D214" i="37" s="1"/>
  <c r="E246" i="41"/>
  <c r="E243" i="41"/>
  <c r="E795" i="41" s="1"/>
  <c r="D84" i="17" s="1"/>
  <c r="D84" i="28" s="1"/>
  <c r="E139" i="41"/>
  <c r="D75" i="41"/>
  <c r="D46" i="41"/>
  <c r="C29" i="41"/>
  <c r="D37" i="42"/>
  <c r="F249" i="41" l="1"/>
  <c r="D160" i="41"/>
  <c r="D159" i="41"/>
  <c r="C35" i="41"/>
  <c r="C32" i="41"/>
  <c r="C31" i="41"/>
  <c r="E396" i="37" l="1"/>
  <c r="F395" i="37" s="1"/>
  <c r="F379" i="37"/>
  <c r="F360" i="37"/>
  <c r="E307" i="37"/>
  <c r="F305" i="37" s="1"/>
  <c r="F265" i="37"/>
  <c r="D282" i="37" s="1"/>
  <c r="E282" i="37" s="1"/>
  <c r="E110" i="37" l="1"/>
  <c r="F241" i="37"/>
  <c r="F162" i="37"/>
  <c r="E155" i="37"/>
  <c r="F154" i="37" s="1"/>
  <c r="F142" i="37"/>
  <c r="D136" i="37"/>
  <c r="D133" i="37"/>
  <c r="D132" i="37"/>
  <c r="E440" i="37" l="1"/>
  <c r="D36" i="12" s="1"/>
  <c r="C67" i="37"/>
  <c r="E119" i="37"/>
  <c r="E269" i="37" l="1"/>
  <c r="E359" i="37" l="1"/>
  <c r="I77" i="37"/>
  <c r="F322" i="37"/>
  <c r="F320" i="37"/>
  <c r="I76" i="37" s="1"/>
  <c r="F358" i="37" l="1"/>
  <c r="G324" i="37"/>
  <c r="B80" i="37"/>
  <c r="E80" i="37"/>
  <c r="H80" i="37"/>
  <c r="K80" i="37"/>
  <c r="J84" i="37" l="1"/>
  <c r="E295" i="37"/>
  <c r="C371" i="41" l="1"/>
  <c r="E327" i="41"/>
  <c r="C336" i="41" s="1"/>
  <c r="D335" i="41" s="1"/>
  <c r="E331" i="41" s="1"/>
  <c r="E362" i="41"/>
  <c r="D465" i="41"/>
  <c r="E440" i="41"/>
  <c r="C139" i="6"/>
  <c r="D139" i="6" s="1"/>
  <c r="E549" i="41"/>
  <c r="E488" i="41"/>
  <c r="E348" i="37"/>
  <c r="E347" i="37"/>
  <c r="E346" i="37"/>
  <c r="E46" i="23"/>
  <c r="F26" i="23"/>
  <c r="E23" i="23"/>
  <c r="F23" i="23"/>
  <c r="E20" i="23"/>
  <c r="E14" i="23"/>
  <c r="E11" i="23"/>
  <c r="E7" i="23"/>
  <c r="D26" i="23"/>
  <c r="D23" i="23"/>
  <c r="D20" i="23"/>
  <c r="D17" i="23"/>
  <c r="D14" i="23"/>
  <c r="D11" i="23"/>
  <c r="D7" i="23"/>
  <c r="E129" i="42"/>
  <c r="E146" i="41"/>
  <c r="E144" i="41"/>
  <c r="E792" i="41" s="1"/>
  <c r="F177" i="37"/>
  <c r="F175" i="37"/>
  <c r="C34" i="41"/>
  <c r="D135" i="37"/>
  <c r="E265" i="41"/>
  <c r="D23" i="8" s="1"/>
  <c r="E257" i="41"/>
  <c r="F257" i="41" s="1"/>
  <c r="E255" i="41"/>
  <c r="E99" i="42"/>
  <c r="F101" i="42" s="1"/>
  <c r="F102" i="42" s="1"/>
  <c r="E56" i="7" s="1"/>
  <c r="D439" i="41"/>
  <c r="E438" i="41" s="1"/>
  <c r="D634" i="41"/>
  <c r="C374" i="41" l="1"/>
  <c r="D459" i="41"/>
  <c r="D457" i="41"/>
  <c r="E134" i="37"/>
  <c r="F345" i="37"/>
  <c r="E450" i="37"/>
  <c r="C76" i="37"/>
  <c r="E449" i="37"/>
  <c r="D369" i="37"/>
  <c r="D82" i="17"/>
  <c r="G179" i="37"/>
  <c r="C77" i="37"/>
  <c r="F148" i="41"/>
  <c r="F255" i="41"/>
  <c r="D670" i="41"/>
  <c r="D632" i="41"/>
  <c r="D370" i="37" l="1"/>
  <c r="E23" i="8"/>
  <c r="E28" i="23"/>
  <c r="E26" i="23" s="1"/>
  <c r="D82" i="12"/>
  <c r="D82" i="28" s="1"/>
  <c r="D79" i="12"/>
  <c r="F451" i="37"/>
  <c r="C17" i="32" s="1"/>
  <c r="E19" i="23"/>
  <c r="E17" i="23" s="1"/>
  <c r="E29" i="23" s="1"/>
  <c r="D79" i="17"/>
  <c r="E195" i="41"/>
  <c r="M53" i="37" l="1"/>
  <c r="E13" i="7" l="1"/>
  <c r="D215" i="42" l="1"/>
  <c r="D212" i="42"/>
  <c r="E65" i="7"/>
  <c r="E198" i="42"/>
  <c r="E50" i="7" s="1"/>
  <c r="E46" i="7"/>
  <c r="E45" i="7"/>
  <c r="D195" i="42"/>
  <c r="E39" i="7" s="1"/>
  <c r="E37" i="7"/>
  <c r="D191" i="42"/>
  <c r="E34" i="7" s="1"/>
  <c r="D190" i="42"/>
  <c r="E33" i="7" s="1"/>
  <c r="E28" i="7"/>
  <c r="E27" i="7"/>
  <c r="E26" i="7"/>
  <c r="E25" i="7"/>
  <c r="E24" i="7"/>
  <c r="E23" i="7"/>
  <c r="E22" i="7" l="1"/>
  <c r="E180" i="42"/>
  <c r="D50" i="7"/>
  <c r="F131" i="42"/>
  <c r="E60" i="7" s="1"/>
  <c r="D31" i="19" s="1"/>
  <c r="E122" i="42"/>
  <c r="F124" i="42" s="1"/>
  <c r="E55" i="7" s="1"/>
  <c r="E114" i="42"/>
  <c r="F117" i="42" s="1"/>
  <c r="E54" i="7" s="1"/>
  <c r="D485" i="41"/>
  <c r="F80" i="42"/>
  <c r="F181" i="41"/>
  <c r="D49" i="41"/>
  <c r="D73" i="41"/>
  <c r="D47" i="41"/>
  <c r="E182" i="41"/>
  <c r="D33" i="19" l="1"/>
  <c r="F183" i="41"/>
  <c r="E799" i="41"/>
  <c r="N76" i="37"/>
  <c r="N77" i="37"/>
  <c r="N66" i="37"/>
  <c r="N67" i="37"/>
  <c r="N68" i="37"/>
  <c r="N69" i="37"/>
  <c r="N70" i="37"/>
  <c r="N71" i="37"/>
  <c r="N72" i="37"/>
  <c r="N73" i="37"/>
  <c r="N74" i="37"/>
  <c r="N65" i="37"/>
  <c r="N64" i="37"/>
  <c r="N63" i="37"/>
  <c r="N62" i="37"/>
  <c r="N61" i="37"/>
  <c r="D20" i="24" l="1"/>
  <c r="D12" i="24"/>
  <c r="D9" i="24"/>
  <c r="D8" i="24"/>
  <c r="D6" i="24"/>
  <c r="D40" i="21"/>
  <c r="D39" i="21"/>
  <c r="D36" i="20"/>
  <c r="D79" i="13" l="1"/>
  <c r="D41" i="18"/>
  <c r="D41" i="29" s="1"/>
  <c r="D54" i="18"/>
  <c r="D54" i="29" s="1"/>
  <c r="D50" i="18"/>
  <c r="D50" i="29" s="1"/>
  <c r="D16" i="18"/>
  <c r="D11" i="18"/>
  <c r="D11" i="29" s="1"/>
  <c r="D10" i="18"/>
  <c r="D10" i="29" s="1"/>
  <c r="E116" i="7"/>
  <c r="E118" i="7" s="1"/>
  <c r="D17" i="19" l="1"/>
  <c r="D16" i="29"/>
  <c r="D79" i="29" l="1"/>
  <c r="E213" i="42"/>
  <c r="D32" i="24" s="1"/>
  <c r="E210" i="42"/>
  <c r="E208" i="42"/>
  <c r="E204" i="42"/>
  <c r="F203" i="42"/>
  <c r="D64" i="19" s="1"/>
  <c r="E192" i="42"/>
  <c r="E189" i="42"/>
  <c r="D83" i="28"/>
  <c r="D9" i="18" l="1"/>
  <c r="D9" i="29" s="1"/>
  <c r="D7" i="18"/>
  <c r="D7" i="29" s="1"/>
  <c r="D8" i="18"/>
  <c r="D8" i="29" s="1"/>
  <c r="F217" i="42"/>
  <c r="E37" i="41"/>
  <c r="D697" i="41" l="1"/>
  <c r="D53" i="20" s="1"/>
  <c r="E662" i="41"/>
  <c r="E650" i="41"/>
  <c r="E605" i="41"/>
  <c r="E537" i="41"/>
  <c r="E376" i="41"/>
  <c r="E338" i="41"/>
  <c r="E310" i="41"/>
  <c r="E189" i="41"/>
  <c r="E89" i="41"/>
  <c r="E58" i="41"/>
  <c r="E54" i="41"/>
  <c r="E22" i="41"/>
  <c r="E446" i="37"/>
  <c r="D45" i="12" s="1"/>
  <c r="E786" i="41" l="1"/>
  <c r="D66" i="17" s="1"/>
  <c r="D66" i="28" s="1"/>
  <c r="E788" i="41"/>
  <c r="D46" i="17"/>
  <c r="D46" i="28" s="1"/>
  <c r="D183" i="6"/>
  <c r="D182" i="6"/>
  <c r="D179" i="6"/>
  <c r="C185" i="6" s="1"/>
  <c r="E92" i="7"/>
  <c r="E80" i="7"/>
  <c r="E79" i="7"/>
  <c r="E78" i="7"/>
  <c r="E77" i="7"/>
  <c r="E76" i="7"/>
  <c r="E74" i="7"/>
  <c r="E73" i="7"/>
  <c r="E72" i="7"/>
  <c r="E67" i="7"/>
  <c r="E38" i="7"/>
  <c r="C154" i="6"/>
  <c r="D153" i="6" s="1"/>
  <c r="D156" i="6" s="1"/>
  <c r="D636" i="41"/>
  <c r="C147" i="6"/>
  <c r="C141" i="6"/>
  <c r="C140" i="6"/>
  <c r="D125" i="6"/>
  <c r="C66" i="6"/>
  <c r="D66" i="6" s="1"/>
  <c r="D65" i="6"/>
  <c r="D30" i="6"/>
  <c r="D29" i="6"/>
  <c r="D27" i="6"/>
  <c r="C22" i="6"/>
  <c r="D17" i="6"/>
  <c r="D15" i="6"/>
  <c r="D13" i="6"/>
  <c r="C12" i="6"/>
  <c r="E165" i="42"/>
  <c r="D229" i="42" s="1"/>
  <c r="E162" i="42"/>
  <c r="F164" i="42" s="1"/>
  <c r="E145" i="42"/>
  <c r="D32" i="18" s="1"/>
  <c r="D32" i="29" s="1"/>
  <c r="E142" i="42"/>
  <c r="D30" i="18" s="1"/>
  <c r="D30" i="29" s="1"/>
  <c r="E140" i="42"/>
  <c r="D26" i="18" s="1"/>
  <c r="D26" i="29" s="1"/>
  <c r="E136" i="42"/>
  <c r="D25" i="18" s="1"/>
  <c r="D25" i="29" s="1"/>
  <c r="E106" i="42"/>
  <c r="F108" i="42" s="1"/>
  <c r="F109" i="42" s="1"/>
  <c r="F78" i="42"/>
  <c r="E67" i="42"/>
  <c r="E64" i="42"/>
  <c r="E41" i="42"/>
  <c r="E36" i="42"/>
  <c r="D33" i="42"/>
  <c r="D29" i="42"/>
  <c r="E17" i="42"/>
  <c r="E9" i="42"/>
  <c r="E224" i="42" s="1"/>
  <c r="E6" i="42"/>
  <c r="D638" i="41"/>
  <c r="E637" i="41" s="1"/>
  <c r="D736" i="41"/>
  <c r="D734" i="41"/>
  <c r="D31" i="21" s="1"/>
  <c r="D732" i="41"/>
  <c r="D730" i="41"/>
  <c r="D32" i="21" s="1"/>
  <c r="F703" i="41"/>
  <c r="E674" i="41"/>
  <c r="D672" i="41"/>
  <c r="E665" i="41"/>
  <c r="D661" i="41"/>
  <c r="D660" i="41"/>
  <c r="D659" i="41"/>
  <c r="D657" i="41"/>
  <c r="E656" i="41" s="1"/>
  <c r="D655" i="41"/>
  <c r="D646" i="41"/>
  <c r="D620" i="41"/>
  <c r="E616" i="41" s="1"/>
  <c r="D615" i="41"/>
  <c r="D614" i="41"/>
  <c r="D613" i="41"/>
  <c r="E610" i="41"/>
  <c r="E608" i="41"/>
  <c r="D603" i="41"/>
  <c r="E603" i="41" s="1"/>
  <c r="C601" i="41"/>
  <c r="D600" i="41" s="1"/>
  <c r="E600" i="41"/>
  <c r="E592" i="41"/>
  <c r="E590" i="41"/>
  <c r="E588" i="41"/>
  <c r="D568" i="41"/>
  <c r="D567" i="41"/>
  <c r="E557" i="41"/>
  <c r="E546" i="41"/>
  <c r="E776" i="41" s="1"/>
  <c r="D542" i="41"/>
  <c r="D541" i="41"/>
  <c r="E535" i="41"/>
  <c r="D534" i="41"/>
  <c r="D533" i="41"/>
  <c r="D532" i="41"/>
  <c r="D530" i="41"/>
  <c r="E529" i="41" s="1"/>
  <c r="D527" i="41"/>
  <c r="E527" i="41" s="1"/>
  <c r="E522" i="41"/>
  <c r="D518" i="41"/>
  <c r="E517" i="41" s="1"/>
  <c r="E509" i="41"/>
  <c r="E507" i="41"/>
  <c r="D506" i="41"/>
  <c r="E505" i="41" s="1"/>
  <c r="E503" i="41"/>
  <c r="D502" i="41"/>
  <c r="E501" i="41" s="1"/>
  <c r="E499" i="41"/>
  <c r="D483" i="41"/>
  <c r="E478" i="41"/>
  <c r="E476" i="41"/>
  <c r="D475" i="41"/>
  <c r="D474" i="41"/>
  <c r="D473" i="41"/>
  <c r="D471" i="41"/>
  <c r="E470" i="41" s="1"/>
  <c r="D469" i="41"/>
  <c r="E468" i="41" s="1"/>
  <c r="E463" i="41"/>
  <c r="E461" i="41"/>
  <c r="E450" i="41"/>
  <c r="D448" i="41"/>
  <c r="E447" i="41" s="1"/>
  <c r="D446" i="41"/>
  <c r="E445" i="41" s="1"/>
  <c r="D444" i="41"/>
  <c r="E443" i="41" s="1"/>
  <c r="E458" i="41"/>
  <c r="E436" i="41"/>
  <c r="E422" i="41"/>
  <c r="E413" i="41"/>
  <c r="D412" i="41"/>
  <c r="D411" i="41"/>
  <c r="D410" i="41"/>
  <c r="D409" i="41"/>
  <c r="D408" i="41"/>
  <c r="D407" i="41"/>
  <c r="E404" i="41"/>
  <c r="E402" i="41"/>
  <c r="E394" i="41"/>
  <c r="E384" i="41"/>
  <c r="D365" i="41"/>
  <c r="E364" i="41" s="1"/>
  <c r="D373" i="41"/>
  <c r="E367" i="41" s="1"/>
  <c r="D361" i="41"/>
  <c r="E360" i="41" s="1"/>
  <c r="E754" i="41" s="1"/>
  <c r="E358" i="41"/>
  <c r="E753" i="41" s="1"/>
  <c r="D347" i="41"/>
  <c r="E346" i="41" s="1"/>
  <c r="E344" i="41"/>
  <c r="E313" i="41"/>
  <c r="E286" i="41"/>
  <c r="E797" i="41" s="1"/>
  <c r="E284" i="41"/>
  <c r="E796" i="41" s="1"/>
  <c r="E280" i="41"/>
  <c r="E278" i="41"/>
  <c r="E276" i="41"/>
  <c r="E274" i="41"/>
  <c r="E263" i="41"/>
  <c r="E261" i="41"/>
  <c r="E259" i="41"/>
  <c r="E239" i="41"/>
  <c r="E237" i="41"/>
  <c r="E235" i="41"/>
  <c r="E227" i="41"/>
  <c r="D225" i="41"/>
  <c r="E224" i="41" s="1"/>
  <c r="E199" i="41"/>
  <c r="E789" i="41" s="1"/>
  <c r="E193" i="41"/>
  <c r="D68" i="17" s="1"/>
  <c r="D68" i="28" s="1"/>
  <c r="E175" i="41"/>
  <c r="F177" i="41" s="1"/>
  <c r="E166" i="41"/>
  <c r="E777" i="41" s="1"/>
  <c r="E164" i="41"/>
  <c r="E162" i="41"/>
  <c r="E158" i="41"/>
  <c r="F161" i="41" s="1"/>
  <c r="E155" i="41"/>
  <c r="E141" i="41"/>
  <c r="E136" i="41"/>
  <c r="D132" i="41"/>
  <c r="D128" i="41"/>
  <c r="D124" i="41"/>
  <c r="D122" i="41"/>
  <c r="E120" i="41" s="1"/>
  <c r="E118" i="41"/>
  <c r="D112" i="41"/>
  <c r="D108" i="41"/>
  <c r="E102" i="41"/>
  <c r="D94" i="41"/>
  <c r="D93" i="41"/>
  <c r="E81" i="41"/>
  <c r="E80" i="41"/>
  <c r="D72" i="41"/>
  <c r="D70" i="41"/>
  <c r="D66" i="41"/>
  <c r="D64" i="41"/>
  <c r="D62" i="41"/>
  <c r="D53" i="41"/>
  <c r="D52" i="41"/>
  <c r="D51" i="41"/>
  <c r="E48" i="41"/>
  <c r="D42" i="41"/>
  <c r="E41" i="41" s="1"/>
  <c r="D33" i="41"/>
  <c r="D21" i="41"/>
  <c r="D20" i="41"/>
  <c r="D12" i="41"/>
  <c r="C30" i="41" s="1"/>
  <c r="E219" i="42" l="1"/>
  <c r="D36" i="18" s="1"/>
  <c r="D36" i="29" s="1"/>
  <c r="E220" i="42"/>
  <c r="F184" i="41"/>
  <c r="E45" i="8"/>
  <c r="E756" i="41"/>
  <c r="D15" i="17" s="1"/>
  <c r="F705" i="41"/>
  <c r="D35" i="8"/>
  <c r="E35" i="8" s="1"/>
  <c r="F167" i="42"/>
  <c r="E228" i="42"/>
  <c r="E768" i="41"/>
  <c r="D32" i="17" s="1"/>
  <c r="E771" i="41"/>
  <c r="D36" i="17" s="1"/>
  <c r="D36" i="28" s="1"/>
  <c r="E772" i="41"/>
  <c r="D37" i="17" s="1"/>
  <c r="E766" i="41"/>
  <c r="E761" i="41"/>
  <c r="D23" i="17" s="1"/>
  <c r="D23" i="28" s="1"/>
  <c r="E781" i="41"/>
  <c r="D49" i="17" s="1"/>
  <c r="E765" i="41"/>
  <c r="E755" i="41"/>
  <c r="D13" i="17" s="1"/>
  <c r="E780" i="41"/>
  <c r="D47" i="17" s="1"/>
  <c r="D47" i="28" s="1"/>
  <c r="F798" i="41"/>
  <c r="E757" i="41"/>
  <c r="D16" i="17" s="1"/>
  <c r="D89" i="6"/>
  <c r="C599" i="41"/>
  <c r="E54" i="8"/>
  <c r="F21" i="8" s="1"/>
  <c r="D37" i="21"/>
  <c r="C645" i="41"/>
  <c r="D38" i="23"/>
  <c r="D39" i="23" s="1"/>
  <c r="F316" i="41"/>
  <c r="D24" i="8" s="1"/>
  <c r="F425" i="41"/>
  <c r="D42" i="17"/>
  <c r="D43" i="17"/>
  <c r="D43" i="28" s="1"/>
  <c r="D87" i="17"/>
  <c r="D87" i="28" s="1"/>
  <c r="D12" i="17"/>
  <c r="E386" i="41"/>
  <c r="F396" i="41" s="1"/>
  <c r="D25" i="8" s="1"/>
  <c r="F268" i="41"/>
  <c r="F269" i="41" s="1"/>
  <c r="D27" i="17"/>
  <c r="D28" i="17"/>
  <c r="E667" i="41"/>
  <c r="E635" i="41"/>
  <c r="E760" i="41" s="1"/>
  <c r="E88" i="7"/>
  <c r="D43" i="18"/>
  <c r="D43" i="29" s="1"/>
  <c r="F19" i="42"/>
  <c r="F20" i="42" s="1"/>
  <c r="E87" i="7"/>
  <c r="E89" i="7"/>
  <c r="F168" i="42"/>
  <c r="E110" i="7"/>
  <c r="D110" i="17"/>
  <c r="D110" i="28" s="1"/>
  <c r="F715" i="41"/>
  <c r="D71" i="17"/>
  <c r="D71" i="28" s="1"/>
  <c r="D62" i="17"/>
  <c r="D62" i="28" s="1"/>
  <c r="D73" i="17"/>
  <c r="D72" i="17" s="1"/>
  <c r="D72" i="28" s="1"/>
  <c r="D8" i="17"/>
  <c r="D45" i="6"/>
  <c r="C372" i="41"/>
  <c r="D113" i="6" s="1"/>
  <c r="F157" i="41"/>
  <c r="F349" i="41"/>
  <c r="D42" i="8" s="1"/>
  <c r="E654" i="41"/>
  <c r="E767" i="41" s="1"/>
  <c r="E61" i="41"/>
  <c r="E774" i="41" s="1"/>
  <c r="E92" i="41"/>
  <c r="E123" i="41"/>
  <c r="F283" i="41"/>
  <c r="E472" i="41"/>
  <c r="E50" i="41"/>
  <c r="F242" i="41"/>
  <c r="E481" i="41"/>
  <c r="E658" i="41"/>
  <c r="F288" i="41"/>
  <c r="D10" i="6"/>
  <c r="E6" i="41"/>
  <c r="F594" i="41"/>
  <c r="E65" i="41"/>
  <c r="F560" i="41"/>
  <c r="E612" i="41"/>
  <c r="E629" i="41"/>
  <c r="F741" i="41"/>
  <c r="E633" i="41"/>
  <c r="E758" i="41" s="1"/>
  <c r="E104" i="41"/>
  <c r="F169" i="41"/>
  <c r="D22" i="8" s="1"/>
  <c r="F201" i="41"/>
  <c r="F229" i="41"/>
  <c r="D36" i="8" s="1"/>
  <c r="E406" i="41"/>
  <c r="E431" i="41"/>
  <c r="E752" i="41" s="1"/>
  <c r="D513" i="41"/>
  <c r="D43" i="6" s="1"/>
  <c r="F511" i="41"/>
  <c r="E531" i="41"/>
  <c r="E540" i="41"/>
  <c r="E566" i="41"/>
  <c r="D77" i="6"/>
  <c r="D53" i="6"/>
  <c r="C515" i="41"/>
  <c r="D54" i="6"/>
  <c r="C21" i="6"/>
  <c r="D21" i="6" s="1"/>
  <c r="D112" i="6"/>
  <c r="D91" i="6"/>
  <c r="D184" i="6"/>
  <c r="C186" i="6" s="1"/>
  <c r="D186" i="6" s="1"/>
  <c r="D73" i="6"/>
  <c r="D127" i="6"/>
  <c r="D106" i="6"/>
  <c r="D71" i="6"/>
  <c r="D108" i="6"/>
  <c r="E27" i="42"/>
  <c r="F51" i="42" s="1"/>
  <c r="F149" i="42"/>
  <c r="F150" i="42" s="1"/>
  <c r="F11" i="42"/>
  <c r="F12" i="42" s="1"/>
  <c r="F75" i="42"/>
  <c r="F81" i="42" s="1"/>
  <c r="E218" i="42" l="1"/>
  <c r="F561" i="41"/>
  <c r="D44" i="8"/>
  <c r="E44" i="8" s="1"/>
  <c r="F250" i="41"/>
  <c r="D18" i="8"/>
  <c r="F426" i="41"/>
  <c r="D28" i="8"/>
  <c r="E783" i="41"/>
  <c r="D59" i="17" s="1"/>
  <c r="D59" i="28" s="1"/>
  <c r="D34" i="8"/>
  <c r="E34" i="8" s="1"/>
  <c r="E775" i="41"/>
  <c r="D40" i="17" s="1"/>
  <c r="D17" i="8"/>
  <c r="B22" i="8"/>
  <c r="D37" i="18"/>
  <c r="D37" i="29" s="1"/>
  <c r="D41" i="27"/>
  <c r="D63" i="18"/>
  <c r="D63" i="29" s="1"/>
  <c r="F230" i="42"/>
  <c r="D97" i="19" s="1"/>
  <c r="E773" i="41"/>
  <c r="D38" i="17" s="1"/>
  <c r="E769" i="41"/>
  <c r="D34" i="17" s="1"/>
  <c r="D34" i="28" s="1"/>
  <c r="F24" i="41"/>
  <c r="E759" i="41"/>
  <c r="D21" i="17" s="1"/>
  <c r="D21" i="28" s="1"/>
  <c r="D22" i="17"/>
  <c r="D22" i="28" s="1"/>
  <c r="D515" i="41"/>
  <c r="D55" i="6" s="1"/>
  <c r="F551" i="41"/>
  <c r="D30" i="8" s="1"/>
  <c r="D86" i="17"/>
  <c r="F570" i="41"/>
  <c r="F623" i="41"/>
  <c r="D38" i="8" s="1"/>
  <c r="D31" i="17"/>
  <c r="D19" i="17"/>
  <c r="D19" i="28" s="1"/>
  <c r="F452" i="41"/>
  <c r="F330" i="41"/>
  <c r="F96" i="41"/>
  <c r="F416" i="41"/>
  <c r="F366" i="41"/>
  <c r="D39" i="17"/>
  <c r="D74" i="28"/>
  <c r="D74" i="17"/>
  <c r="C11" i="11"/>
  <c r="C644" i="41"/>
  <c r="F170" i="41"/>
  <c r="E86" i="7"/>
  <c r="F790" i="41"/>
  <c r="F784" i="41"/>
  <c r="F676" i="41"/>
  <c r="F375" i="41"/>
  <c r="F289" i="41"/>
  <c r="F83" i="41"/>
  <c r="D20" i="8" s="1"/>
  <c r="F143" i="41"/>
  <c r="F639" i="41"/>
  <c r="C683" i="41"/>
  <c r="D26" i="41"/>
  <c r="E25" i="41" s="1"/>
  <c r="F36" i="41" s="1"/>
  <c r="F337" i="41"/>
  <c r="D129" i="6"/>
  <c r="E453" i="41"/>
  <c r="F460" i="41" s="1"/>
  <c r="F743" i="41"/>
  <c r="F317" i="41"/>
  <c r="D596" i="41"/>
  <c r="E595" i="41" s="1"/>
  <c r="D87" i="6"/>
  <c r="F218" i="41"/>
  <c r="B20" i="8" l="1"/>
  <c r="F417" i="41"/>
  <c r="D27" i="8"/>
  <c r="B42" i="8"/>
  <c r="E42" i="8" s="1"/>
  <c r="D86" i="28"/>
  <c r="D88" i="28" s="1"/>
  <c r="B25" i="8"/>
  <c r="F97" i="41"/>
  <c r="D41" i="8"/>
  <c r="E41" i="8" s="1"/>
  <c r="B29" i="8"/>
  <c r="F571" i="41"/>
  <c r="D31" i="8"/>
  <c r="D24" i="28"/>
  <c r="E512" i="41"/>
  <c r="F519" i="41" s="1"/>
  <c r="B30" i="8" s="1"/>
  <c r="F150" i="41"/>
  <c r="D19" i="8" s="1"/>
  <c r="F490" i="41"/>
  <c r="D29" i="8" s="1"/>
  <c r="F397" i="41"/>
  <c r="D45" i="17"/>
  <c r="D45" i="28" s="1"/>
  <c r="F225" i="42"/>
  <c r="D35" i="18"/>
  <c r="F762" i="41"/>
  <c r="D7" i="17"/>
  <c r="F84" i="41"/>
  <c r="D104" i="6"/>
  <c r="D641" i="41"/>
  <c r="E640" i="41" s="1"/>
  <c r="F649" i="41" s="1"/>
  <c r="F682" i="41" s="1"/>
  <c r="F602" i="41"/>
  <c r="B38" i="8" s="1"/>
  <c r="E38" i="8" s="1"/>
  <c r="E134" i="6"/>
  <c r="F350" i="41"/>
  <c r="F222" i="41"/>
  <c r="B36" i="8" s="1"/>
  <c r="E36" i="8" s="1"/>
  <c r="D169" i="6"/>
  <c r="E763" i="41" l="1"/>
  <c r="F764" i="41" s="1"/>
  <c r="E745" i="41" s="1"/>
  <c r="B39" i="8"/>
  <c r="E39" i="8" s="1"/>
  <c r="F624" i="41"/>
  <c r="F230" i="41"/>
  <c r="F552" i="41"/>
  <c r="F782" i="41"/>
  <c r="F491" i="41"/>
  <c r="E158" i="6"/>
  <c r="D745" i="41" l="1"/>
  <c r="B47" i="8" s="1"/>
  <c r="D156" i="42"/>
  <c r="E155" i="42" s="1"/>
  <c r="D26" i="17"/>
  <c r="F157" i="42" l="1"/>
  <c r="E59" i="7" l="1"/>
  <c r="D34" i="19"/>
  <c r="E7" i="38"/>
  <c r="E9" i="7" l="1"/>
  <c r="C8" i="32"/>
  <c r="D35" i="13"/>
  <c r="D35" i="29" s="1"/>
  <c r="C100" i="4"/>
  <c r="D97" i="4"/>
  <c r="D95" i="4"/>
  <c r="D94" i="4"/>
  <c r="D93" i="4"/>
  <c r="D66" i="4"/>
  <c r="D65" i="4"/>
  <c r="D69" i="4" s="1"/>
  <c r="D41" i="4"/>
  <c r="D15" i="4"/>
  <c r="D13" i="4"/>
  <c r="D12" i="4"/>
  <c r="D11" i="4"/>
  <c r="D10" i="4"/>
  <c r="F73" i="37" l="1"/>
  <c r="O76" i="37"/>
  <c r="O77" i="37"/>
  <c r="O81" i="37"/>
  <c r="O83" i="37"/>
  <c r="O67" i="37"/>
  <c r="L73" i="37"/>
  <c r="I73" i="37"/>
  <c r="C73" i="37"/>
  <c r="E12" i="37"/>
  <c r="C13" i="37" s="1"/>
  <c r="E198" i="37"/>
  <c r="F197" i="37" s="1"/>
  <c r="F199" i="37"/>
  <c r="D216" i="37" s="1"/>
  <c r="E213" i="37" s="1"/>
  <c r="E204" i="37"/>
  <c r="F203" i="37" s="1"/>
  <c r="F205" i="37"/>
  <c r="F220" i="37"/>
  <c r="F224" i="37"/>
  <c r="F64" i="37" s="1"/>
  <c r="E228" i="37"/>
  <c r="E229" i="37"/>
  <c r="E231" i="37"/>
  <c r="E232" i="37"/>
  <c r="E234" i="37"/>
  <c r="F233" i="37" s="1"/>
  <c r="F66" i="37" s="1"/>
  <c r="F235" i="37"/>
  <c r="F68" i="37" s="1"/>
  <c r="F237" i="37"/>
  <c r="F69" i="37" s="1"/>
  <c r="F239" i="37"/>
  <c r="F70" i="37" s="1"/>
  <c r="F71" i="37"/>
  <c r="F246" i="37"/>
  <c r="F72" i="37" s="1"/>
  <c r="F250" i="37"/>
  <c r="F74" i="37" s="1"/>
  <c r="F409" i="37"/>
  <c r="L74" i="37" s="1"/>
  <c r="F403" i="37"/>
  <c r="D102" i="4" s="1"/>
  <c r="F398" i="37"/>
  <c r="L71" i="37" s="1"/>
  <c r="L70" i="37"/>
  <c r="F393" i="37"/>
  <c r="L69" i="37" s="1"/>
  <c r="F391" i="37"/>
  <c r="L68" i="37" s="1"/>
  <c r="E390" i="37"/>
  <c r="F389" i="37" s="1"/>
  <c r="L66" i="37" s="1"/>
  <c r="E388" i="37"/>
  <c r="E387" i="37"/>
  <c r="E385" i="37"/>
  <c r="L64" i="37"/>
  <c r="F375" i="37"/>
  <c r="F352" i="37"/>
  <c r="D371" i="37" s="1"/>
  <c r="E351" i="37"/>
  <c r="F350" i="37" s="1"/>
  <c r="E426" i="37"/>
  <c r="D8" i="12" s="1"/>
  <c r="D8" i="28" s="1"/>
  <c r="F317" i="37"/>
  <c r="I74" i="37" s="1"/>
  <c r="F313" i="37"/>
  <c r="D77" i="4" s="1"/>
  <c r="E309" i="37"/>
  <c r="F308" i="37" s="1"/>
  <c r="I71" i="37" s="1"/>
  <c r="I70" i="37"/>
  <c r="F303" i="37"/>
  <c r="I69" i="37" s="1"/>
  <c r="F301" i="37"/>
  <c r="I68" i="37" s="1"/>
  <c r="E300" i="37"/>
  <c r="F299" i="37" s="1"/>
  <c r="I66" i="37" s="1"/>
  <c r="E298" i="37"/>
  <c r="E297" i="37"/>
  <c r="E294" i="37"/>
  <c r="F290" i="37"/>
  <c r="I64" i="37" s="1"/>
  <c r="F286" i="37"/>
  <c r="I63" i="37" s="1"/>
  <c r="F274" i="37"/>
  <c r="E273" i="37"/>
  <c r="F272" i="37" s="1"/>
  <c r="F270" i="37"/>
  <c r="D280" i="37" s="1"/>
  <c r="E280" i="37" s="1"/>
  <c r="E278" i="37" s="1"/>
  <c r="F268" i="37"/>
  <c r="F173" i="37"/>
  <c r="F167" i="37"/>
  <c r="F160" i="37"/>
  <c r="F158" i="37"/>
  <c r="F156" i="37"/>
  <c r="E153" i="37"/>
  <c r="F152" i="37" s="1"/>
  <c r="E151" i="37"/>
  <c r="E150" i="37"/>
  <c r="E148" i="37"/>
  <c r="E147" i="37"/>
  <c r="F138" i="37"/>
  <c r="F120" i="37"/>
  <c r="E118" i="37"/>
  <c r="F117" i="37" s="1"/>
  <c r="F111" i="37"/>
  <c r="M84" i="37"/>
  <c r="G84" i="37"/>
  <c r="D84" i="37"/>
  <c r="K78" i="37"/>
  <c r="I78" i="37"/>
  <c r="H78" i="37"/>
  <c r="C78" i="37"/>
  <c r="B78" i="37"/>
  <c r="K75" i="37"/>
  <c r="H75" i="37"/>
  <c r="E75" i="37"/>
  <c r="E79" i="37" s="1"/>
  <c r="B75" i="37"/>
  <c r="F16" i="37"/>
  <c r="E24" i="37" s="1"/>
  <c r="E37" i="37" s="1"/>
  <c r="B5" i="37" s="1"/>
  <c r="E5" i="37" s="1"/>
  <c r="E372" i="37" l="1"/>
  <c r="D108" i="4" s="1"/>
  <c r="E283" i="37"/>
  <c r="D83" i="4" s="1"/>
  <c r="E217" i="37"/>
  <c r="D131" i="37"/>
  <c r="B46" i="37" s="1"/>
  <c r="N78" i="37"/>
  <c r="E429" i="37"/>
  <c r="D15" i="12" s="1"/>
  <c r="D15" i="28" s="1"/>
  <c r="E428" i="37"/>
  <c r="D13" i="12" s="1"/>
  <c r="D13" i="28" s="1"/>
  <c r="E430" i="37"/>
  <c r="D16" i="12" s="1"/>
  <c r="D16" i="28" s="1"/>
  <c r="D43" i="37"/>
  <c r="K53" i="37"/>
  <c r="I82" i="37" s="1"/>
  <c r="C63" i="37"/>
  <c r="E436" i="37"/>
  <c r="C66" i="37"/>
  <c r="O66" i="37" s="1"/>
  <c r="E439" i="37"/>
  <c r="D32" i="12" s="1"/>
  <c r="D32" i="28" s="1"/>
  <c r="C69" i="37"/>
  <c r="O69" i="37" s="1"/>
  <c r="E442" i="37"/>
  <c r="D38" i="12" s="1"/>
  <c r="D38" i="28" s="1"/>
  <c r="C71" i="37"/>
  <c r="O71" i="37" s="1"/>
  <c r="E444" i="37"/>
  <c r="D40" i="12" s="1"/>
  <c r="D40" i="28" s="1"/>
  <c r="C74" i="37"/>
  <c r="O74" i="37" s="1"/>
  <c r="E447" i="37"/>
  <c r="D49" i="12" s="1"/>
  <c r="C64" i="37"/>
  <c r="O64" i="37" s="1"/>
  <c r="E437" i="37"/>
  <c r="D28" i="12" s="1"/>
  <c r="D28" i="28" s="1"/>
  <c r="C68" i="37"/>
  <c r="O68" i="37" s="1"/>
  <c r="E441" i="37"/>
  <c r="D37" i="12" s="1"/>
  <c r="D37" i="28" s="1"/>
  <c r="C70" i="37"/>
  <c r="O70" i="37" s="1"/>
  <c r="E443" i="37"/>
  <c r="D39" i="12" s="1"/>
  <c r="D39" i="28" s="1"/>
  <c r="C72" i="37"/>
  <c r="E445" i="37"/>
  <c r="D42" i="12" s="1"/>
  <c r="O78" i="37"/>
  <c r="D13" i="37"/>
  <c r="A13" i="37"/>
  <c r="O73" i="37"/>
  <c r="D35" i="4"/>
  <c r="D81" i="4"/>
  <c r="D100" i="4"/>
  <c r="D78" i="4"/>
  <c r="D106" i="4"/>
  <c r="D59" i="4"/>
  <c r="L72" i="37"/>
  <c r="D24" i="4"/>
  <c r="D26" i="4" s="1"/>
  <c r="D101" i="4"/>
  <c r="F384" i="37"/>
  <c r="L65" i="37" s="1"/>
  <c r="D58" i="4"/>
  <c r="H79" i="37"/>
  <c r="D34" i="4"/>
  <c r="D74" i="4"/>
  <c r="D116" i="4"/>
  <c r="D114" i="4"/>
  <c r="D50" i="4"/>
  <c r="I72" i="37"/>
  <c r="F63" i="37"/>
  <c r="F293" i="37"/>
  <c r="I65" i="37" s="1"/>
  <c r="L63" i="37"/>
  <c r="K79" i="37"/>
  <c r="F227" i="37"/>
  <c r="F65" i="37" s="1"/>
  <c r="B13" i="37"/>
  <c r="B79" i="37"/>
  <c r="F109" i="37"/>
  <c r="C20" i="4" s="1"/>
  <c r="D20" i="4" s="1"/>
  <c r="D22" i="4" s="1"/>
  <c r="F146" i="37"/>
  <c r="F258" i="37"/>
  <c r="F186" i="37"/>
  <c r="N80" i="37"/>
  <c r="N75" i="37"/>
  <c r="D42" i="28" l="1"/>
  <c r="D44" i="28" s="1"/>
  <c r="D49" i="28"/>
  <c r="D50" i="28" s="1"/>
  <c r="D434" i="37"/>
  <c r="D52" i="4"/>
  <c r="E126" i="37"/>
  <c r="D49" i="37"/>
  <c r="D54" i="37" s="1"/>
  <c r="I80" i="37" s="1"/>
  <c r="F277" i="37"/>
  <c r="G285" i="37" s="1"/>
  <c r="I62" i="37" s="1"/>
  <c r="E427" i="37"/>
  <c r="D12" i="12" s="1"/>
  <c r="D12" i="28" s="1"/>
  <c r="D71" i="4"/>
  <c r="C43" i="37"/>
  <c r="J53" i="37"/>
  <c r="F82" i="37" s="1"/>
  <c r="E43" i="37"/>
  <c r="L53" i="37"/>
  <c r="L82" i="37" s="1"/>
  <c r="D48" i="4"/>
  <c r="F212" i="37"/>
  <c r="B43" i="37"/>
  <c r="I53" i="37"/>
  <c r="D41" i="28"/>
  <c r="D27" i="12"/>
  <c r="E438" i="37"/>
  <c r="D31" i="12" s="1"/>
  <c r="E425" i="37"/>
  <c r="L75" i="37"/>
  <c r="O72" i="37"/>
  <c r="N79" i="37"/>
  <c r="G318" i="37"/>
  <c r="G365" i="37"/>
  <c r="G211" i="37"/>
  <c r="F75" i="37"/>
  <c r="G276" i="37"/>
  <c r="D89" i="4" s="1"/>
  <c r="G124" i="37"/>
  <c r="G251" i="37"/>
  <c r="D104" i="4"/>
  <c r="E367" i="37"/>
  <c r="F366" i="37" s="1"/>
  <c r="I75" i="37"/>
  <c r="G410" i="37"/>
  <c r="G174" i="37"/>
  <c r="D7" i="8" s="1"/>
  <c r="C65" i="37"/>
  <c r="O63" i="37"/>
  <c r="E13" i="37"/>
  <c r="G374" i="37" l="1"/>
  <c r="L62" i="37" s="1"/>
  <c r="G412" i="37"/>
  <c r="G219" i="37"/>
  <c r="F62" i="37" s="1"/>
  <c r="G252" i="37"/>
  <c r="G325" i="37"/>
  <c r="D31" i="28"/>
  <c r="D33" i="28" s="1"/>
  <c r="D433" i="37"/>
  <c r="E432" i="37" s="1"/>
  <c r="F435" i="37" s="1"/>
  <c r="D26" i="12" s="1"/>
  <c r="D26" i="28" s="1"/>
  <c r="D27" i="28"/>
  <c r="D30" i="28" s="1"/>
  <c r="B49" i="37"/>
  <c r="C49" i="37"/>
  <c r="E49" i="37"/>
  <c r="E54" i="37" s="1"/>
  <c r="L80" i="37" s="1"/>
  <c r="F43" i="37"/>
  <c r="D7" i="12"/>
  <c r="N53" i="37"/>
  <c r="C82" i="37"/>
  <c r="O82" i="37" s="1"/>
  <c r="F448" i="37"/>
  <c r="D455" i="37" s="1"/>
  <c r="D11" i="8" s="1"/>
  <c r="F431" i="37"/>
  <c r="C61" i="37"/>
  <c r="F125" i="37"/>
  <c r="F61" i="37"/>
  <c r="L61" i="37"/>
  <c r="L79" i="37" s="1"/>
  <c r="I61" i="37"/>
  <c r="I79" i="37" s="1"/>
  <c r="I84" i="37" s="1"/>
  <c r="O65" i="37"/>
  <c r="C75" i="37"/>
  <c r="F79" i="37" l="1"/>
  <c r="D118" i="4"/>
  <c r="D61" i="4"/>
  <c r="G137" i="37"/>
  <c r="D37" i="4" s="1"/>
  <c r="G180" i="37"/>
  <c r="D51" i="28"/>
  <c r="D7" i="28"/>
  <c r="D20" i="28" s="1"/>
  <c r="D25" i="28" s="1"/>
  <c r="F49" i="37"/>
  <c r="B54" i="37"/>
  <c r="C80" i="37" s="1"/>
  <c r="C54" i="37"/>
  <c r="F80" i="37" s="1"/>
  <c r="F84" i="37" s="1"/>
  <c r="D454" i="37"/>
  <c r="D456" i="37" s="1"/>
  <c r="E14" i="8" s="1"/>
  <c r="L84" i="37"/>
  <c r="F452" i="37"/>
  <c r="F456" i="37"/>
  <c r="I85" i="37"/>
  <c r="C62" i="37"/>
  <c r="O62" i="37" s="1"/>
  <c r="O61" i="37"/>
  <c r="O75" i="37"/>
  <c r="B11" i="8" l="1"/>
  <c r="E11" i="8" s="1"/>
  <c r="B7" i="8"/>
  <c r="D89" i="42"/>
  <c r="C206" i="41" s="1"/>
  <c r="D16" i="38"/>
  <c r="D125" i="12"/>
  <c r="F458" i="37"/>
  <c r="F54" i="37"/>
  <c r="D13" i="38" s="1"/>
  <c r="O80" i="37"/>
  <c r="L85" i="37"/>
  <c r="F85" i="37"/>
  <c r="C79" i="37"/>
  <c r="D88" i="42" l="1"/>
  <c r="C205" i="41" s="1"/>
  <c r="D15" i="38"/>
  <c r="D90" i="42"/>
  <c r="C207" i="41" s="1"/>
  <c r="D17" i="38"/>
  <c r="D203" i="41"/>
  <c r="O79" i="37"/>
  <c r="C84" i="37"/>
  <c r="E105" i="7"/>
  <c r="E87" i="42" l="1"/>
  <c r="O84" i="37"/>
  <c r="C85" i="37"/>
  <c r="C204" i="41" s="1"/>
  <c r="D204" i="41" s="1"/>
  <c r="E202" i="41" s="1"/>
  <c r="E75" i="7"/>
  <c r="E32" i="7"/>
  <c r="D15" i="7"/>
  <c r="C15" i="7"/>
  <c r="D11" i="7"/>
  <c r="D119" i="7"/>
  <c r="C119" i="7"/>
  <c r="D81" i="7"/>
  <c r="D82" i="7" s="1"/>
  <c r="C81" i="7"/>
  <c r="C82" i="7" s="1"/>
  <c r="D68" i="7"/>
  <c r="E68" i="7"/>
  <c r="C68" i="7"/>
  <c r="E51" i="7"/>
  <c r="D51" i="7"/>
  <c r="C51" i="7"/>
  <c r="D61" i="7"/>
  <c r="C61" i="7"/>
  <c r="E36" i="7"/>
  <c r="C36" i="7"/>
  <c r="C32" i="7"/>
  <c r="E21" i="7"/>
  <c r="C21" i="7"/>
  <c r="D105" i="7"/>
  <c r="D106" i="7" s="1"/>
  <c r="E199" i="42" l="1"/>
  <c r="F91" i="42"/>
  <c r="C48" i="7"/>
  <c r="C62" i="7" s="1"/>
  <c r="D14" i="38"/>
  <c r="E12" i="38" s="1"/>
  <c r="E48" i="7"/>
  <c r="E800" i="41"/>
  <c r="D7" i="26"/>
  <c r="C126" i="7"/>
  <c r="D126" i="7"/>
  <c r="F208" i="41"/>
  <c r="D21" i="8" s="1"/>
  <c r="O85" i="37"/>
  <c r="F10" i="38"/>
  <c r="C69" i="7"/>
  <c r="D69" i="7"/>
  <c r="D16" i="7"/>
  <c r="E119" i="7"/>
  <c r="E69" i="7"/>
  <c r="E81" i="7"/>
  <c r="D62" i="7"/>
  <c r="C105" i="7"/>
  <c r="C106" i="7" s="1"/>
  <c r="D93" i="7"/>
  <c r="D94" i="7" s="1"/>
  <c r="C93" i="7"/>
  <c r="C94" i="7" s="1"/>
  <c r="D111" i="7"/>
  <c r="D125" i="7" s="1"/>
  <c r="E111" i="7"/>
  <c r="E112" i="7" s="1"/>
  <c r="C111" i="7"/>
  <c r="C112" i="7" s="1"/>
  <c r="C11" i="7"/>
  <c r="E57" i="7" l="1"/>
  <c r="E61" i="7" s="1"/>
  <c r="E62" i="7" s="1"/>
  <c r="D35" i="19"/>
  <c r="D86" i="13"/>
  <c r="D86" i="29" s="1"/>
  <c r="F18" i="38"/>
  <c r="F20" i="38" s="1"/>
  <c r="E14" i="7"/>
  <c r="E15" i="7" s="1"/>
  <c r="E126" i="7" s="1"/>
  <c r="C6" i="11" s="1"/>
  <c r="F94" i="42"/>
  <c r="C125" i="7"/>
  <c r="F200" i="42"/>
  <c r="F234" i="42" s="1"/>
  <c r="D18" i="18"/>
  <c r="D18" i="29" s="1"/>
  <c r="E125" i="7"/>
  <c r="C5" i="11" s="1"/>
  <c r="C124" i="7"/>
  <c r="D124" i="7"/>
  <c r="D111" i="17"/>
  <c r="D111" i="28" s="1"/>
  <c r="F801" i="41"/>
  <c r="D746" i="41" s="1"/>
  <c r="F209" i="41"/>
  <c r="F805" i="41" s="1"/>
  <c r="D46" i="8"/>
  <c r="E11" i="7"/>
  <c r="E16" i="7" s="1"/>
  <c r="C121" i="7"/>
  <c r="D112" i="7"/>
  <c r="D121" i="7" s="1"/>
  <c r="D123" i="7" s="1"/>
  <c r="E82" i="7"/>
  <c r="C16" i="7"/>
  <c r="D166" i="6"/>
  <c r="D165" i="6"/>
  <c r="D148" i="6"/>
  <c r="D147" i="6"/>
  <c r="D122" i="6"/>
  <c r="D121" i="6"/>
  <c r="D101" i="6"/>
  <c r="D85" i="6"/>
  <c r="D8" i="6"/>
  <c r="D64" i="6"/>
  <c r="D41" i="6"/>
  <c r="D22" i="6"/>
  <c r="F176" i="42" l="1"/>
  <c r="F236" i="42" s="1"/>
  <c r="E17" i="7"/>
  <c r="D99" i="13"/>
  <c r="C123" i="7"/>
  <c r="E122" i="7"/>
  <c r="D99" i="18"/>
  <c r="C99" i="29"/>
  <c r="C127" i="7"/>
  <c r="D747" i="41"/>
  <c r="E47" i="8" s="1"/>
  <c r="D47" i="8"/>
  <c r="E746" i="41"/>
  <c r="E747" i="41" s="1"/>
  <c r="F803" i="41"/>
  <c r="D125" i="17" s="1"/>
  <c r="D149" i="6"/>
  <c r="D151" i="6" s="1"/>
  <c r="D142" i="6"/>
  <c r="D144" i="6" s="1"/>
  <c r="D167" i="6"/>
  <c r="D102" i="6"/>
  <c r="D123" i="6"/>
  <c r="D12" i="6"/>
  <c r="D23" i="6"/>
  <c r="D25" i="6" s="1"/>
  <c r="F807" i="41" l="1"/>
  <c r="F808" i="41" s="1"/>
  <c r="F238" i="42"/>
  <c r="D172" i="6"/>
  <c r="C9" i="32" l="1"/>
  <c r="B2" i="12" l="1"/>
  <c r="B2" i="13" s="1"/>
  <c r="D19" i="25"/>
  <c r="B1" i="29"/>
  <c r="B1" i="13"/>
  <c r="B1" i="18"/>
  <c r="B1" i="20" l="1"/>
  <c r="B1" i="25" s="1"/>
  <c r="B1" i="19"/>
  <c r="B1" i="22"/>
  <c r="B1" i="27" s="1"/>
  <c r="B1" i="21"/>
  <c r="B1" i="26" s="1"/>
  <c r="B1" i="24" l="1"/>
  <c r="B1" i="23"/>
  <c r="C15" i="32"/>
  <c r="F11" i="29" l="1"/>
  <c r="F12" i="29"/>
  <c r="F14" i="29"/>
  <c r="F15" i="29"/>
  <c r="F16" i="29"/>
  <c r="F20" i="29"/>
  <c r="F21" i="29"/>
  <c r="F23" i="29"/>
  <c r="F24" i="29"/>
  <c r="F27" i="29"/>
  <c r="F34" i="29"/>
  <c r="F35" i="29"/>
  <c r="F36" i="29"/>
  <c r="F37" i="29"/>
  <c r="F39" i="29"/>
  <c r="F40" i="29"/>
  <c r="F42" i="29"/>
  <c r="F43" i="29"/>
  <c r="F45" i="29"/>
  <c r="F46" i="29"/>
  <c r="F50" i="29"/>
  <c r="F51" i="29"/>
  <c r="F52" i="29"/>
  <c r="F53" i="29"/>
  <c r="F56" i="29"/>
  <c r="F57" i="29"/>
  <c r="F58" i="29"/>
  <c r="F60" i="29"/>
  <c r="F62" i="29"/>
  <c r="F63" i="29"/>
  <c r="F70" i="29"/>
  <c r="F75" i="29"/>
  <c r="F81" i="29"/>
  <c r="F86" i="29"/>
  <c r="F87" i="29"/>
  <c r="F90" i="29"/>
  <c r="F91" i="29"/>
  <c r="F92" i="29"/>
  <c r="F93" i="29"/>
  <c r="F95" i="29"/>
  <c r="F88" i="29"/>
  <c r="F85" i="29"/>
  <c r="F82" i="29"/>
  <c r="F80" i="29"/>
  <c r="F77" i="29"/>
  <c r="F76" i="29"/>
  <c r="F74" i="29"/>
  <c r="F72" i="29"/>
  <c r="F71" i="29"/>
  <c r="F64" i="29"/>
  <c r="F59" i="29"/>
  <c r="F38" i="29"/>
  <c r="F28" i="29"/>
  <c r="F17" i="29"/>
  <c r="B2" i="29"/>
  <c r="F9" i="28"/>
  <c r="F10" i="28"/>
  <c r="F11" i="28"/>
  <c r="F12" i="28"/>
  <c r="F14" i="28"/>
  <c r="F15" i="28"/>
  <c r="F17" i="28"/>
  <c r="F18" i="28"/>
  <c r="F19" i="28"/>
  <c r="F22" i="28"/>
  <c r="F23" i="28"/>
  <c r="F26" i="28"/>
  <c r="C7" i="16" s="1"/>
  <c r="F27" i="28"/>
  <c r="F28" i="28"/>
  <c r="F31" i="28"/>
  <c r="F32" i="28"/>
  <c r="F34" i="28"/>
  <c r="F35" i="28"/>
  <c r="F36" i="28"/>
  <c r="F37" i="28"/>
  <c r="F38" i="28"/>
  <c r="F39" i="28"/>
  <c r="F40" i="28"/>
  <c r="F42" i="28"/>
  <c r="F45" i="28"/>
  <c r="F46" i="28"/>
  <c r="F47" i="28"/>
  <c r="F48" i="28"/>
  <c r="F49" i="28"/>
  <c r="F54" i="28"/>
  <c r="F55" i="28"/>
  <c r="F56" i="28"/>
  <c r="F57" i="28"/>
  <c r="F58" i="28"/>
  <c r="F61" i="28"/>
  <c r="F62" i="28"/>
  <c r="F63" i="28"/>
  <c r="F64" i="28"/>
  <c r="F65" i="28"/>
  <c r="F67" i="28"/>
  <c r="F69" i="28"/>
  <c r="F72" i="28"/>
  <c r="F73" i="28"/>
  <c r="F81" i="28"/>
  <c r="F86" i="28"/>
  <c r="F91" i="28"/>
  <c r="F93" i="28"/>
  <c r="F95" i="28"/>
  <c r="F96" i="28"/>
  <c r="F100" i="28"/>
  <c r="F101" i="28"/>
  <c r="F105" i="28"/>
  <c r="F107" i="28"/>
  <c r="F109" i="28"/>
  <c r="F112" i="28"/>
  <c r="F113" i="28"/>
  <c r="F114" i="28"/>
  <c r="F116" i="28"/>
  <c r="F117" i="28"/>
  <c r="F118" i="28"/>
  <c r="F119" i="28"/>
  <c r="F7" i="28"/>
  <c r="F121" i="28"/>
  <c r="F106" i="28"/>
  <c r="F104" i="28"/>
  <c r="F102" i="28"/>
  <c r="F94" i="28"/>
  <c r="F92" i="28"/>
  <c r="F90" i="28"/>
  <c r="F85" i="28"/>
  <c r="F80" i="28"/>
  <c r="F78" i="28"/>
  <c r="F76" i="28"/>
  <c r="F70" i="28"/>
  <c r="F53" i="28"/>
  <c r="F52" i="28"/>
  <c r="F29" i="28"/>
  <c r="B2" i="28"/>
  <c r="F89" i="28" l="1"/>
  <c r="D97" i="28"/>
  <c r="D98" i="28" s="1"/>
  <c r="D60" i="28"/>
  <c r="D75" i="28" s="1"/>
  <c r="C9" i="11" s="1"/>
  <c r="D120" i="28"/>
  <c r="D108" i="28"/>
  <c r="G42" i="27"/>
  <c r="F42" i="27"/>
  <c r="E42" i="27"/>
  <c r="G41" i="27"/>
  <c r="F41" i="27"/>
  <c r="E41" i="27"/>
  <c r="G40" i="27"/>
  <c r="F40" i="27"/>
  <c r="E40" i="27"/>
  <c r="D9" i="26"/>
  <c r="C27" i="25"/>
  <c r="E27" i="25" s="1"/>
  <c r="E26" i="25"/>
  <c r="E25" i="25"/>
  <c r="E24" i="25"/>
  <c r="D23" i="25"/>
  <c r="C23" i="25"/>
  <c r="E22" i="25"/>
  <c r="E21" i="25"/>
  <c r="E20" i="25"/>
  <c r="C19" i="25"/>
  <c r="E18" i="25"/>
  <c r="E17" i="25"/>
  <c r="E16" i="25"/>
  <c r="E15" i="25"/>
  <c r="E14" i="25"/>
  <c r="E13" i="25"/>
  <c r="E12" i="25"/>
  <c r="D11" i="25"/>
  <c r="E10" i="25"/>
  <c r="E9" i="25"/>
  <c r="E8" i="25"/>
  <c r="E7" i="25"/>
  <c r="D43" i="27"/>
  <c r="G43" i="27" s="1"/>
  <c r="D11" i="24"/>
  <c r="B2" i="24"/>
  <c r="D33" i="24"/>
  <c r="F32" i="29" s="1"/>
  <c r="D19" i="24"/>
  <c r="F30" i="29" s="1"/>
  <c r="D14" i="24"/>
  <c r="F29" i="29" s="1"/>
  <c r="B2" i="23"/>
  <c r="F44" i="23"/>
  <c r="F40" i="23"/>
  <c r="F39" i="23"/>
  <c r="F36" i="23"/>
  <c r="F35" i="23"/>
  <c r="F34" i="23"/>
  <c r="D33" i="23"/>
  <c r="F32" i="23"/>
  <c r="F30" i="23"/>
  <c r="F22" i="23"/>
  <c r="F21" i="23"/>
  <c r="F19" i="23"/>
  <c r="F18" i="23"/>
  <c r="F16" i="23"/>
  <c r="F15" i="23"/>
  <c r="F13" i="23"/>
  <c r="F12" i="23"/>
  <c r="F9" i="23"/>
  <c r="F8" i="23"/>
  <c r="F6" i="23"/>
  <c r="D11" i="22"/>
  <c r="B2" i="22"/>
  <c r="B2" i="27" s="1"/>
  <c r="B2" i="21"/>
  <c r="B2" i="26" s="1"/>
  <c r="D28" i="21"/>
  <c r="D25" i="21"/>
  <c r="D18" i="21"/>
  <c r="D16" i="21"/>
  <c r="D9" i="21"/>
  <c r="B2" i="20"/>
  <c r="B2" i="25" s="1"/>
  <c r="D73" i="20"/>
  <c r="D28" i="20"/>
  <c r="D17" i="20"/>
  <c r="D72" i="19"/>
  <c r="F54" i="29" s="1"/>
  <c r="D105" i="19"/>
  <c r="B2" i="19"/>
  <c r="D94" i="19"/>
  <c r="F11" i="23" l="1"/>
  <c r="F14" i="23"/>
  <c r="F17" i="23"/>
  <c r="F20" i="23"/>
  <c r="C28" i="25"/>
  <c r="F33" i="23"/>
  <c r="F46" i="23" s="1"/>
  <c r="D46" i="23"/>
  <c r="E23" i="25"/>
  <c r="D99" i="28"/>
  <c r="D10" i="24"/>
  <c r="D22" i="24"/>
  <c r="E11" i="25"/>
  <c r="D28" i="25"/>
  <c r="F26" i="29"/>
  <c r="F43" i="27"/>
  <c r="E43" i="27"/>
  <c r="E7" i="26"/>
  <c r="E9" i="26" s="1"/>
  <c r="E19" i="25"/>
  <c r="F10" i="23"/>
  <c r="F7" i="23" s="1"/>
  <c r="F29" i="23" l="1"/>
  <c r="E28" i="25"/>
  <c r="D39" i="27"/>
  <c r="D45" i="27" s="1"/>
  <c r="D34" i="24"/>
  <c r="F25" i="29"/>
  <c r="D29" i="23"/>
  <c r="F39" i="27" l="1"/>
  <c r="F45" i="27" s="1"/>
  <c r="G39" i="27"/>
  <c r="G45" i="27" s="1"/>
  <c r="E39" i="27"/>
  <c r="E45" i="27" s="1"/>
  <c r="B2" i="18"/>
  <c r="F84" i="29"/>
  <c r="F35" i="18"/>
  <c r="F32" i="18"/>
  <c r="F30" i="18"/>
  <c r="F29" i="18"/>
  <c r="F26" i="18"/>
  <c r="F25" i="18"/>
  <c r="F10" i="29"/>
  <c r="F95" i="18"/>
  <c r="D94" i="18"/>
  <c r="F93" i="18"/>
  <c r="F92" i="18"/>
  <c r="F91" i="18"/>
  <c r="F90" i="18"/>
  <c r="F88" i="18"/>
  <c r="F87" i="18"/>
  <c r="F86" i="18"/>
  <c r="F85" i="18"/>
  <c r="F82" i="18"/>
  <c r="F81" i="18"/>
  <c r="F80" i="18"/>
  <c r="D78" i="18"/>
  <c r="D78" i="29" s="1"/>
  <c r="F77" i="18"/>
  <c r="F76" i="18"/>
  <c r="F75" i="18"/>
  <c r="F74" i="18"/>
  <c r="D73" i="18"/>
  <c r="F72" i="18"/>
  <c r="F71" i="18"/>
  <c r="F70" i="18"/>
  <c r="F64" i="18"/>
  <c r="D65" i="18"/>
  <c r="D65" i="29" s="1"/>
  <c r="F62" i="18"/>
  <c r="D61" i="18"/>
  <c r="F60" i="18"/>
  <c r="F59" i="18"/>
  <c r="F58" i="18"/>
  <c r="F57" i="18"/>
  <c r="F56" i="18"/>
  <c r="D55" i="18"/>
  <c r="F54" i="18"/>
  <c r="F53" i="18"/>
  <c r="F52" i="18"/>
  <c r="F51" i="18"/>
  <c r="F50" i="18"/>
  <c r="D48" i="18"/>
  <c r="F45" i="18"/>
  <c r="F43" i="18"/>
  <c r="F42" i="18"/>
  <c r="F40" i="18"/>
  <c r="F39" i="18"/>
  <c r="F38" i="18"/>
  <c r="F37" i="18"/>
  <c r="F36" i="18"/>
  <c r="F34" i="18"/>
  <c r="F28" i="18"/>
  <c r="F27" i="18"/>
  <c r="F24" i="18"/>
  <c r="F23" i="18"/>
  <c r="D22" i="18"/>
  <c r="D22" i="29" s="1"/>
  <c r="F21" i="18"/>
  <c r="F20" i="18"/>
  <c r="F18" i="18"/>
  <c r="F17" i="18"/>
  <c r="D28" i="19" s="1"/>
  <c r="F16" i="18"/>
  <c r="F15" i="18"/>
  <c r="F14" i="18"/>
  <c r="F12" i="18"/>
  <c r="F11" i="18"/>
  <c r="F111" i="28"/>
  <c r="F77" i="28"/>
  <c r="F8" i="17"/>
  <c r="F13" i="17"/>
  <c r="B2" i="17"/>
  <c r="F121" i="17"/>
  <c r="D120" i="17"/>
  <c r="F120" i="28" s="1"/>
  <c r="F119" i="17"/>
  <c r="F118" i="17"/>
  <c r="F117" i="17"/>
  <c r="F116" i="17"/>
  <c r="F114" i="17"/>
  <c r="F113" i="17"/>
  <c r="F112" i="17"/>
  <c r="F109" i="17"/>
  <c r="D108" i="17"/>
  <c r="F108" i="17" s="1"/>
  <c r="F107" i="17"/>
  <c r="F106" i="17"/>
  <c r="F105" i="17"/>
  <c r="F104" i="17"/>
  <c r="D103" i="17"/>
  <c r="F103" i="17" s="1"/>
  <c r="F102" i="17"/>
  <c r="F101" i="17"/>
  <c r="F100" i="17"/>
  <c r="D97" i="17"/>
  <c r="F96" i="17"/>
  <c r="F95" i="17"/>
  <c r="F94" i="17"/>
  <c r="F93" i="17"/>
  <c r="F92" i="17"/>
  <c r="F91" i="17"/>
  <c r="F90" i="17"/>
  <c r="F89" i="17"/>
  <c r="F86" i="17"/>
  <c r="F85" i="17"/>
  <c r="F81" i="17"/>
  <c r="F80" i="17"/>
  <c r="F78" i="17"/>
  <c r="F76" i="17"/>
  <c r="F73" i="17"/>
  <c r="F72" i="17"/>
  <c r="F70" i="17"/>
  <c r="F69" i="17"/>
  <c r="F67" i="17"/>
  <c r="F65" i="17"/>
  <c r="F64" i="17"/>
  <c r="F63" i="17"/>
  <c r="F62" i="17"/>
  <c r="F61" i="17"/>
  <c r="F58" i="17"/>
  <c r="F57" i="17"/>
  <c r="F56" i="17"/>
  <c r="F55" i="17"/>
  <c r="F54" i="17"/>
  <c r="F52" i="17"/>
  <c r="D50" i="17"/>
  <c r="F49" i="17"/>
  <c r="F48" i="17"/>
  <c r="F47" i="17"/>
  <c r="F46" i="17"/>
  <c r="F45" i="17"/>
  <c r="D44" i="17"/>
  <c r="F44" i="17" s="1"/>
  <c r="F43" i="17"/>
  <c r="F42" i="17"/>
  <c r="D41" i="17"/>
  <c r="F40" i="17"/>
  <c r="F39" i="17"/>
  <c r="F38" i="17"/>
  <c r="F37" i="17"/>
  <c r="F36" i="17"/>
  <c r="F35" i="17"/>
  <c r="F34" i="17"/>
  <c r="D33" i="17"/>
  <c r="F32" i="17"/>
  <c r="F31" i="17"/>
  <c r="D30" i="17"/>
  <c r="F29" i="17"/>
  <c r="F28" i="17"/>
  <c r="F27" i="17"/>
  <c r="F26" i="17"/>
  <c r="F23" i="17"/>
  <c r="F22" i="17"/>
  <c r="F19" i="17"/>
  <c r="F18" i="17"/>
  <c r="F17" i="17"/>
  <c r="F16" i="17"/>
  <c r="F15" i="17"/>
  <c r="F14" i="17"/>
  <c r="F12" i="17"/>
  <c r="F11" i="17"/>
  <c r="F10" i="17"/>
  <c r="F9" i="17"/>
  <c r="F7" i="17"/>
  <c r="C13" i="16"/>
  <c r="F95" i="13"/>
  <c r="D94" i="13"/>
  <c r="F94" i="13" s="1"/>
  <c r="F93" i="13"/>
  <c r="F92" i="13"/>
  <c r="F91" i="13"/>
  <c r="F90" i="13"/>
  <c r="F88" i="13"/>
  <c r="F87" i="13"/>
  <c r="F86" i="13"/>
  <c r="F85" i="13"/>
  <c r="F84" i="13"/>
  <c r="F82" i="13"/>
  <c r="F81" i="13"/>
  <c r="F80" i="13"/>
  <c r="F78" i="13"/>
  <c r="F77" i="13"/>
  <c r="F76" i="13"/>
  <c r="F75" i="13"/>
  <c r="F74" i="13"/>
  <c r="F73" i="13"/>
  <c r="F72" i="13"/>
  <c r="F71" i="13"/>
  <c r="F70" i="13"/>
  <c r="D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D48" i="13"/>
  <c r="F48" i="13" s="1"/>
  <c r="F47" i="13"/>
  <c r="F46" i="13"/>
  <c r="F45" i="13"/>
  <c r="D44" i="13"/>
  <c r="F44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7" i="13"/>
  <c r="F16" i="13"/>
  <c r="F15" i="13"/>
  <c r="F14" i="13"/>
  <c r="F13" i="13"/>
  <c r="F12" i="13"/>
  <c r="F11" i="13"/>
  <c r="F10" i="13"/>
  <c r="F9" i="13"/>
  <c r="F8" i="13"/>
  <c r="F7" i="13"/>
  <c r="D30" i="12"/>
  <c r="F30" i="12" s="1"/>
  <c r="D24" i="12"/>
  <c r="F24" i="12" s="1"/>
  <c r="F7" i="12"/>
  <c r="F121" i="12"/>
  <c r="F120" i="12"/>
  <c r="F119" i="12"/>
  <c r="F118" i="12"/>
  <c r="F117" i="12"/>
  <c r="F116" i="12"/>
  <c r="F114" i="12"/>
  <c r="F113" i="12"/>
  <c r="F112" i="12"/>
  <c r="F111" i="12"/>
  <c r="F110" i="12"/>
  <c r="F109" i="12"/>
  <c r="D108" i="12"/>
  <c r="F108" i="12" s="1"/>
  <c r="F107" i="12"/>
  <c r="F106" i="12"/>
  <c r="F105" i="12"/>
  <c r="F104" i="12"/>
  <c r="D103" i="12"/>
  <c r="F103" i="12" s="1"/>
  <c r="F102" i="12"/>
  <c r="F101" i="12"/>
  <c r="F100" i="12"/>
  <c r="D97" i="12"/>
  <c r="F97" i="12" s="1"/>
  <c r="F96" i="12"/>
  <c r="F95" i="12"/>
  <c r="F94" i="12"/>
  <c r="F93" i="12"/>
  <c r="F92" i="12"/>
  <c r="F91" i="12"/>
  <c r="F90" i="12"/>
  <c r="F89" i="12"/>
  <c r="D88" i="12"/>
  <c r="F88" i="12" s="1"/>
  <c r="F87" i="12"/>
  <c r="F86" i="12"/>
  <c r="F85" i="12"/>
  <c r="F84" i="12"/>
  <c r="D83" i="12"/>
  <c r="D98" i="12" s="1"/>
  <c r="F98" i="12" s="1"/>
  <c r="F82" i="12"/>
  <c r="F81" i="12"/>
  <c r="F80" i="12"/>
  <c r="F79" i="12"/>
  <c r="F78" i="12"/>
  <c r="F77" i="12"/>
  <c r="F76" i="12"/>
  <c r="F73" i="12"/>
  <c r="F72" i="12"/>
  <c r="F71" i="12"/>
  <c r="F70" i="12"/>
  <c r="F69" i="12"/>
  <c r="F68" i="12"/>
  <c r="F67" i="12"/>
  <c r="D66" i="12"/>
  <c r="D74" i="12" s="1"/>
  <c r="F74" i="12" s="1"/>
  <c r="F65" i="12"/>
  <c r="F64" i="12"/>
  <c r="F63" i="12"/>
  <c r="F62" i="12"/>
  <c r="F61" i="12"/>
  <c r="D60" i="12"/>
  <c r="F60" i="12" s="1"/>
  <c r="F59" i="12"/>
  <c r="F58" i="12"/>
  <c r="F57" i="12"/>
  <c r="F56" i="12"/>
  <c r="F55" i="12"/>
  <c r="F54" i="12"/>
  <c r="F53" i="12"/>
  <c r="F52" i="12"/>
  <c r="D50" i="12"/>
  <c r="F50" i="12" s="1"/>
  <c r="F49" i="12"/>
  <c r="F48" i="12"/>
  <c r="F47" i="12"/>
  <c r="F46" i="12"/>
  <c r="F45" i="12"/>
  <c r="D44" i="12"/>
  <c r="F44" i="12" s="1"/>
  <c r="F43" i="12"/>
  <c r="F42" i="12"/>
  <c r="F40" i="12"/>
  <c r="D41" i="12"/>
  <c r="F38" i="12"/>
  <c r="F37" i="12"/>
  <c r="F36" i="12"/>
  <c r="F35" i="12"/>
  <c r="F34" i="12"/>
  <c r="D33" i="12"/>
  <c r="F33" i="12" s="1"/>
  <c r="F32" i="12"/>
  <c r="F31" i="12"/>
  <c r="F29" i="12"/>
  <c r="F28" i="12"/>
  <c r="F27" i="12"/>
  <c r="F26" i="12"/>
  <c r="F23" i="12"/>
  <c r="F22" i="12"/>
  <c r="F21" i="12"/>
  <c r="F19" i="12"/>
  <c r="F18" i="12"/>
  <c r="F17" i="12"/>
  <c r="F15" i="12"/>
  <c r="F14" i="12"/>
  <c r="F13" i="12"/>
  <c r="F12" i="12"/>
  <c r="F11" i="12"/>
  <c r="F10" i="12"/>
  <c r="F9" i="12"/>
  <c r="D48" i="29" l="1"/>
  <c r="F94" i="18"/>
  <c r="D94" i="29"/>
  <c r="D73" i="29"/>
  <c r="F73" i="29" s="1"/>
  <c r="D61" i="29"/>
  <c r="F61" i="29" s="1"/>
  <c r="C21" i="16" s="1"/>
  <c r="D55" i="29"/>
  <c r="F55" i="29" s="1"/>
  <c r="C18" i="16" s="1"/>
  <c r="F120" i="17"/>
  <c r="F66" i="13"/>
  <c r="D69" i="13"/>
  <c r="F69" i="13" s="1"/>
  <c r="D83" i="13"/>
  <c r="D89" i="13" s="1"/>
  <c r="D51" i="17"/>
  <c r="F51" i="17" s="1"/>
  <c r="F30" i="28"/>
  <c r="F83" i="12"/>
  <c r="F33" i="17"/>
  <c r="F33" i="28"/>
  <c r="F41" i="17"/>
  <c r="F41" i="28"/>
  <c r="F97" i="17"/>
  <c r="F97" i="28"/>
  <c r="F103" i="28"/>
  <c r="F108" i="28"/>
  <c r="F22" i="18"/>
  <c r="F22" i="29"/>
  <c r="F61" i="18"/>
  <c r="F65" i="18"/>
  <c r="F65" i="29"/>
  <c r="C23" i="16" s="1"/>
  <c r="F78" i="18"/>
  <c r="F78" i="29"/>
  <c r="F94" i="29"/>
  <c r="F41" i="18"/>
  <c r="F41" i="29"/>
  <c r="F48" i="18"/>
  <c r="F48" i="29"/>
  <c r="C22" i="16" s="1"/>
  <c r="F66" i="12"/>
  <c r="F43" i="28"/>
  <c r="F79" i="17"/>
  <c r="F79" i="28"/>
  <c r="F47" i="18"/>
  <c r="F47" i="29"/>
  <c r="F50" i="17"/>
  <c r="F50" i="28"/>
  <c r="F111" i="17"/>
  <c r="F77" i="17"/>
  <c r="F84" i="17"/>
  <c r="F84" i="28"/>
  <c r="F10" i="18"/>
  <c r="D83" i="18"/>
  <c r="D83" i="29" s="1"/>
  <c r="F79" i="29"/>
  <c r="F84" i="18"/>
  <c r="F46" i="18"/>
  <c r="D66" i="18"/>
  <c r="D66" i="29" s="1"/>
  <c r="D31" i="18"/>
  <c r="D31" i="29" s="1"/>
  <c r="D44" i="18"/>
  <c r="D44" i="29" s="1"/>
  <c r="F55" i="18"/>
  <c r="F63" i="18"/>
  <c r="F73" i="18"/>
  <c r="F79" i="18"/>
  <c r="F30" i="17"/>
  <c r="D20" i="17"/>
  <c r="F53" i="17"/>
  <c r="F79" i="13"/>
  <c r="D51" i="12"/>
  <c r="F41" i="12"/>
  <c r="D115" i="12"/>
  <c r="F39" i="12"/>
  <c r="D89" i="18" l="1"/>
  <c r="D89" i="29" s="1"/>
  <c r="F89" i="29" s="1"/>
  <c r="F83" i="13"/>
  <c r="C7" i="32"/>
  <c r="F51" i="12"/>
  <c r="C16" i="32"/>
  <c r="F51" i="28"/>
  <c r="C8" i="16" s="1"/>
  <c r="F44" i="18"/>
  <c r="F44" i="29"/>
  <c r="C20" i="16" s="1"/>
  <c r="F44" i="28"/>
  <c r="F83" i="18"/>
  <c r="F83" i="29"/>
  <c r="F31" i="18"/>
  <c r="F31" i="29"/>
  <c r="F66" i="29"/>
  <c r="D33" i="18"/>
  <c r="D33" i="29" s="1"/>
  <c r="F66" i="18"/>
  <c r="F20" i="17"/>
  <c r="D96" i="13"/>
  <c r="F89" i="13"/>
  <c r="F115" i="12"/>
  <c r="D122" i="12"/>
  <c r="F122" i="12" s="1"/>
  <c r="F89" i="18" l="1"/>
  <c r="D96" i="18"/>
  <c r="D96" i="29" s="1"/>
  <c r="F96" i="29" s="1"/>
  <c r="C25" i="16" s="1"/>
  <c r="F33" i="18"/>
  <c r="F33" i="29"/>
  <c r="C19" i="16" s="1"/>
  <c r="F96" i="13"/>
  <c r="F96" i="18" l="1"/>
  <c r="F82" i="28"/>
  <c r="F82" i="17" l="1"/>
  <c r="D83" i="17"/>
  <c r="F83" i="28" s="1"/>
  <c r="C11" i="16" s="1"/>
  <c r="F83" i="17" l="1"/>
  <c r="F7" i="18" l="1"/>
  <c r="D39" i="20"/>
  <c r="E21" i="8"/>
  <c r="F7" i="29" l="1"/>
  <c r="F66" i="28"/>
  <c r="F66" i="17" l="1"/>
  <c r="D51" i="6" l="1"/>
  <c r="F87" i="28" l="1"/>
  <c r="E17" i="8"/>
  <c r="D12" i="8"/>
  <c r="C12" i="8"/>
  <c r="B12" i="8"/>
  <c r="E106" i="7"/>
  <c r="D127" i="7"/>
  <c r="F8" i="29" l="1"/>
  <c r="E93" i="7"/>
  <c r="E124" i="7" s="1"/>
  <c r="E26" i="8"/>
  <c r="D41" i="21"/>
  <c r="F9" i="18"/>
  <c r="F9" i="29"/>
  <c r="D75" i="19"/>
  <c r="D83" i="19" s="1"/>
  <c r="F110" i="17"/>
  <c r="D115" i="17"/>
  <c r="C12" i="11" s="1"/>
  <c r="F87" i="17"/>
  <c r="D88" i="17"/>
  <c r="F88" i="28" s="1"/>
  <c r="C12" i="16" s="1"/>
  <c r="E31" i="8"/>
  <c r="E27" i="8"/>
  <c r="E24" i="8"/>
  <c r="D130" i="6"/>
  <c r="D109" i="6"/>
  <c r="C67" i="6"/>
  <c r="B67" i="6"/>
  <c r="E127" i="7" l="1"/>
  <c r="E50" i="8" s="1"/>
  <c r="F110" i="28"/>
  <c r="D115" i="28"/>
  <c r="F115" i="28" s="1"/>
  <c r="E94" i="7"/>
  <c r="E121" i="7" s="1"/>
  <c r="F8" i="18"/>
  <c r="D13" i="18"/>
  <c r="D47" i="6"/>
  <c r="D18" i="6"/>
  <c r="D19" i="6" s="1"/>
  <c r="D74" i="6"/>
  <c r="D50" i="20"/>
  <c r="D48" i="6"/>
  <c r="D131" i="6"/>
  <c r="D134" i="6" s="1"/>
  <c r="D42" i="21"/>
  <c r="F144" i="6"/>
  <c r="F115" i="17"/>
  <c r="D122" i="17"/>
  <c r="F88" i="17"/>
  <c r="D98" i="17"/>
  <c r="E28" i="8"/>
  <c r="D62" i="20"/>
  <c r="D118" i="20" s="1"/>
  <c r="D67" i="6"/>
  <c r="D69" i="6" s="1"/>
  <c r="E22" i="8"/>
  <c r="C46" i="8"/>
  <c r="E18" i="8"/>
  <c r="D110" i="6"/>
  <c r="D116" i="6" s="1"/>
  <c r="D92" i="6"/>
  <c r="E123" i="7" l="1"/>
  <c r="D19" i="18"/>
  <c r="F19" i="18" s="1"/>
  <c r="D13" i="29"/>
  <c r="F13" i="29" s="1"/>
  <c r="D69" i="18"/>
  <c r="D69" i="29" s="1"/>
  <c r="D122" i="28"/>
  <c r="D123" i="28" s="1"/>
  <c r="C4" i="11"/>
  <c r="F13" i="18"/>
  <c r="D49" i="6"/>
  <c r="D34" i="6"/>
  <c r="D75" i="6"/>
  <c r="D93" i="6"/>
  <c r="D97" i="6" s="1"/>
  <c r="F59" i="28"/>
  <c r="F59" i="17"/>
  <c r="D60" i="17"/>
  <c r="F68" i="28"/>
  <c r="F68" i="17"/>
  <c r="F71" i="28"/>
  <c r="F98" i="17"/>
  <c r="F98" i="28"/>
  <c r="F122" i="17"/>
  <c r="E19" i="8"/>
  <c r="C8" i="8"/>
  <c r="C48" i="8" s="1"/>
  <c r="D49" i="18" l="1"/>
  <c r="D67" i="18" s="1"/>
  <c r="C13" i="8"/>
  <c r="F122" i="28"/>
  <c r="C15" i="16" s="1"/>
  <c r="C14" i="11"/>
  <c r="C16" i="11" s="1"/>
  <c r="F74" i="28"/>
  <c r="C10" i="16" s="1"/>
  <c r="F71" i="17"/>
  <c r="D59" i="6"/>
  <c r="D81" i="6"/>
  <c r="F21" i="17"/>
  <c r="D24" i="17"/>
  <c r="F21" i="28"/>
  <c r="F60" i="17"/>
  <c r="F60" i="28"/>
  <c r="C9" i="16" s="1"/>
  <c r="E20" i="8"/>
  <c r="E25" i="8"/>
  <c r="F69" i="29"/>
  <c r="F69" i="18"/>
  <c r="F49" i="18" l="1"/>
  <c r="F67" i="18"/>
  <c r="D97" i="18"/>
  <c r="F97" i="18" s="1"/>
  <c r="F74" i="17"/>
  <c r="B190" i="6"/>
  <c r="F24" i="17"/>
  <c r="F24" i="28"/>
  <c r="D25" i="17"/>
  <c r="E29" i="8"/>
  <c r="E30" i="8"/>
  <c r="D8" i="8"/>
  <c r="D48" i="8" s="1"/>
  <c r="D109" i="4"/>
  <c r="D53" i="4"/>
  <c r="B16" i="4"/>
  <c r="C98" i="4"/>
  <c r="B98" i="4"/>
  <c r="D13" i="8" l="1"/>
  <c r="F8" i="28"/>
  <c r="F8" i="12"/>
  <c r="F16" i="28"/>
  <c r="F16" i="12"/>
  <c r="D20" i="12"/>
  <c r="B46" i="8"/>
  <c r="E46" i="8" s="1"/>
  <c r="F25" i="17"/>
  <c r="D75" i="17"/>
  <c r="D84" i="4"/>
  <c r="D85" i="4" s="1"/>
  <c r="D87" i="4" s="1"/>
  <c r="D110" i="4"/>
  <c r="D112" i="4" s="1"/>
  <c r="D54" i="4"/>
  <c r="C16" i="4"/>
  <c r="D46" i="4"/>
  <c r="D98" i="4"/>
  <c r="D27" i="4"/>
  <c r="D28" i="4" s="1"/>
  <c r="D68" i="18" l="1"/>
  <c r="F68" i="18" s="1"/>
  <c r="D99" i="17"/>
  <c r="F75" i="17"/>
  <c r="F13" i="28"/>
  <c r="D25" i="12"/>
  <c r="F20" i="12"/>
  <c r="D16" i="4"/>
  <c r="D18" i="4" s="1"/>
  <c r="D32" i="4" l="1"/>
  <c r="D120" i="4" s="1"/>
  <c r="D123" i="17"/>
  <c r="F123" i="17" s="1"/>
  <c r="F125" i="17" s="1"/>
  <c r="F99" i="17"/>
  <c r="C14" i="32"/>
  <c r="C12" i="32" s="1"/>
  <c r="F25" i="12"/>
  <c r="D75" i="12"/>
  <c r="F20" i="28"/>
  <c r="D99" i="12" l="1"/>
  <c r="F75" i="12"/>
  <c r="F25" i="28"/>
  <c r="C6" i="16" s="1"/>
  <c r="B8" i="8" l="1"/>
  <c r="C14" i="16"/>
  <c r="C16" i="16" s="1"/>
  <c r="C8" i="11"/>
  <c r="D123" i="12"/>
  <c r="F99" i="12"/>
  <c r="E12" i="8"/>
  <c r="B13" i="8" l="1"/>
  <c r="B48" i="8"/>
  <c r="F123" i="12"/>
  <c r="E7" i="8"/>
  <c r="E8" i="8" s="1"/>
  <c r="E48" i="8" s="1"/>
  <c r="F75" i="28"/>
  <c r="F99" i="28"/>
  <c r="E13" i="8" l="1"/>
  <c r="F123" i="28" l="1"/>
  <c r="E52" i="8" l="1"/>
  <c r="F18" i="29" l="1"/>
  <c r="C10" i="32"/>
  <c r="C5" i="32" s="1"/>
  <c r="F18" i="13"/>
  <c r="D19" i="13"/>
  <c r="D19" i="29" s="1"/>
  <c r="D97" i="29" s="1"/>
  <c r="F19" i="29" l="1"/>
  <c r="C17" i="16" s="1"/>
  <c r="C24" i="16" s="1"/>
  <c r="C26" i="16" s="1"/>
  <c r="D39" i="19"/>
  <c r="D117" i="19" s="1"/>
  <c r="C3" i="11"/>
  <c r="C19" i="11" s="1"/>
  <c r="D67" i="13"/>
  <c r="F19" i="13"/>
  <c r="D49" i="13"/>
  <c r="D68" i="13" l="1"/>
  <c r="D49" i="29"/>
  <c r="D67" i="29"/>
  <c r="F67" i="29" s="1"/>
  <c r="F49" i="13"/>
  <c r="F67" i="13"/>
  <c r="D97" i="13"/>
  <c r="F97" i="29" l="1"/>
  <c r="F49" i="29"/>
  <c r="F68" i="29"/>
  <c r="F68" i="13"/>
  <c r="F99" i="13"/>
  <c r="F97" i="13"/>
</calcChain>
</file>

<file path=xl/comments1.xml><?xml version="1.0" encoding="utf-8"?>
<comments xmlns="http://schemas.openxmlformats.org/spreadsheetml/2006/main">
  <authors>
    <author>Felhasznalo4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Felhasznalo4:</t>
        </r>
        <r>
          <rPr>
            <sz val="9"/>
            <color indexed="81"/>
            <rFont val="Tahoma"/>
            <family val="2"/>
            <charset val="238"/>
          </rPr>
          <t xml:space="preserve">
Közös Hivatalhoz</t>
        </r>
      </text>
    </comment>
  </commentList>
</comments>
</file>

<file path=xl/sharedStrings.xml><?xml version="1.0" encoding="utf-8"?>
<sst xmlns="http://schemas.openxmlformats.org/spreadsheetml/2006/main" count="4079" uniqueCount="1442">
  <si>
    <t>Csajág</t>
  </si>
  <si>
    <t>Küngös</t>
  </si>
  <si>
    <t>Összesen</t>
  </si>
  <si>
    <t>Ft</t>
  </si>
  <si>
    <t>Akarattya</t>
  </si>
  <si>
    <t>Személyi juttatások KÖH</t>
  </si>
  <si>
    <t>Szocho</t>
  </si>
  <si>
    <t>Cafeteria</t>
  </si>
  <si>
    <t>Ft/év</t>
  </si>
  <si>
    <t xml:space="preserve">Polgár Beatrix  </t>
  </si>
  <si>
    <t>Varga Beáta</t>
  </si>
  <si>
    <t>Takács Krisztina</t>
  </si>
  <si>
    <t xml:space="preserve">Szociális hozzájárulás </t>
  </si>
  <si>
    <t>SZJA</t>
  </si>
  <si>
    <t>SZOCHO</t>
  </si>
  <si>
    <t>Cafeteria közterhei összesen:</t>
  </si>
  <si>
    <t>Jubileumi jutalom</t>
  </si>
  <si>
    <t>Védőszemüveg</t>
  </si>
  <si>
    <t>Petró Médea</t>
  </si>
  <si>
    <t>Horváth Renáta</t>
  </si>
  <si>
    <t>Takács Ivett</t>
  </si>
  <si>
    <t>Szociális hozzájárulási adó</t>
  </si>
  <si>
    <t>Tóth Bianka</t>
  </si>
  <si>
    <t>Normatív jutalom</t>
  </si>
  <si>
    <t>Sass Henrietta</t>
  </si>
  <si>
    <t>Lőkös Katalin</t>
  </si>
  <si>
    <t>Zsapka Beáta</t>
  </si>
  <si>
    <t>Szemüveg</t>
  </si>
  <si>
    <t>Tolner Klaudia</t>
  </si>
  <si>
    <t>Cafeteria bruttó</t>
  </si>
  <si>
    <t>Cafeteria nettó</t>
  </si>
  <si>
    <t>Nagyné Vigh Ildikó</t>
  </si>
  <si>
    <t>Jutalom szochoja</t>
  </si>
  <si>
    <t>B2</t>
  </si>
  <si>
    <t>Közlekedési költségtérítés</t>
  </si>
  <si>
    <t>Személyi juttatások ÖNK</t>
  </si>
  <si>
    <t>11130 Önk. jogalkotó és igazg.tev.</t>
  </si>
  <si>
    <t>Forró Zsolt</t>
  </si>
  <si>
    <t>Költségtérítés</t>
  </si>
  <si>
    <t>074031 Család és nővédelem</t>
  </si>
  <si>
    <t>Igazné Brutyó Marianna</t>
  </si>
  <si>
    <t>Hénesné Varga Katalin</t>
  </si>
  <si>
    <t>Dr. Nagy Rezső</t>
  </si>
  <si>
    <t>Dr. Nagy Rezső illetménykieg</t>
  </si>
  <si>
    <t>Közl. ktsgtér</t>
  </si>
  <si>
    <t>Horváthné Takács Terézia</t>
  </si>
  <si>
    <t>066020 Város- és községgazd</t>
  </si>
  <si>
    <t>Jubileumi jutalom szochoja</t>
  </si>
  <si>
    <t>Mihályka Zsolt</t>
  </si>
  <si>
    <t>Kieg. Díjazás szocho</t>
  </si>
  <si>
    <t>MŰKÖDÉSI BEVÉTELEK</t>
  </si>
  <si>
    <t>Kamatbevételek</t>
  </si>
  <si>
    <t>FINANSZÍROZÁSI BEVÉTELEK</t>
  </si>
  <si>
    <t>Előző év költségvetési maradványának igénybevétele</t>
  </si>
  <si>
    <t>Balatonfőkajári Közös Önkormányzati Hivatal</t>
  </si>
  <si>
    <t>MŰKÖDÉSI CÉLÚ ÁTVETT PÉNZESZKÖZÖK</t>
  </si>
  <si>
    <t>Működési célú támogatások társönkormányzatoktól</t>
  </si>
  <si>
    <t>Balatonfőkajár Község Önkormányzata</t>
  </si>
  <si>
    <t>Kapott kamat</t>
  </si>
  <si>
    <t>HELYI ADÓK, ÁTENGEDETT KÖZPONTI ADÓK</t>
  </si>
  <si>
    <t>Kommunális adó</t>
  </si>
  <si>
    <t>Iparűzési adó</t>
  </si>
  <si>
    <t>Idegenforgalmi adó</t>
  </si>
  <si>
    <t>Gépjárműadó 40%-a</t>
  </si>
  <si>
    <t>Építményadó</t>
  </si>
  <si>
    <t>Telekadó</t>
  </si>
  <si>
    <t>MŰKÖDÉSI CÉLÚ PÉNZESZKÖZÁTVÉTEL</t>
  </si>
  <si>
    <t>Fogászat OEP támogatás</t>
  </si>
  <si>
    <t>Védőnő OEP támogatás</t>
  </si>
  <si>
    <t>MŰKÖDÉSI CÉLÚ KÖLCSÖN MEGTÉRÜLÉS</t>
  </si>
  <si>
    <t>Kamatmentes kölcsönök törlesztése</t>
  </si>
  <si>
    <t>FELHALMOZÁSI CÉLÚ KÖLCSÖN MEGTÉRÜLÉS</t>
  </si>
  <si>
    <t>FELHALMOZÁSI BEVÉTELEK</t>
  </si>
  <si>
    <t>ÖNK. KÖLTSÉGVETÉSI TÁMOGATÁSA (EBR 42-ből)</t>
  </si>
  <si>
    <t>I.A helyi önk. működésének ált. támogatása</t>
  </si>
  <si>
    <t>I.I.a-V. Önkormányzati hivatal működésének támogatása</t>
  </si>
  <si>
    <t>I.I.ba-V. Zöldterület gazdálkodás</t>
  </si>
  <si>
    <t>I.I.bb-V. Közvilágítás</t>
  </si>
  <si>
    <t>I.I.bc-V. Köztemetőfenntartás</t>
  </si>
  <si>
    <t>I.I.bd-V. Közutak fenntartása</t>
  </si>
  <si>
    <t>I.I.c) Egyéb önkormányzati feladatok támogatása</t>
  </si>
  <si>
    <t>I.I.d) Lakott külterületi tám.</t>
  </si>
  <si>
    <t>I.I.e -V. Üdülőhelyi feladatok tám.</t>
  </si>
  <si>
    <t>I.5 Áthúzódó bérkompenzáció támogatása</t>
  </si>
  <si>
    <t>I.6. Polgármesteri illetmény támogatása</t>
  </si>
  <si>
    <t>II. Köznevelési feladatok tám.</t>
  </si>
  <si>
    <t>II.1. Óvodapedapedagógusok és közvetlen segítők bértámogatása</t>
  </si>
  <si>
    <t>II.2. Óvodaműködtetési támogatás</t>
  </si>
  <si>
    <t>II.4. Ped.II. támogatása</t>
  </si>
  <si>
    <t>III. Szociális, gyermekjóléti és gyermekétkeztetési tám.</t>
  </si>
  <si>
    <t>III.2. Egyéb szociális feladatok támogatása</t>
  </si>
  <si>
    <t>III.3.c) Szociális étkeztetés</t>
  </si>
  <si>
    <t>III.3.ja) Bölcsőde támogatása</t>
  </si>
  <si>
    <t>III.5.a) Gyermekétkeztetési dolgozók bértámogatása</t>
  </si>
  <si>
    <t>III.5.b) Gyermekétkeztetés üzemeltetési támogatása</t>
  </si>
  <si>
    <t>III.5.c) Gyermekétkeztetés szünidei támogatása</t>
  </si>
  <si>
    <t>III.6.a) Bölcsődei szakmai dolgozók támogatása</t>
  </si>
  <si>
    <t>III.6.b) Bölcsőde üzemeltetési támogatása</t>
  </si>
  <si>
    <t>IV.I.d) Könyvtári és közművelődési támogatás</t>
  </si>
  <si>
    <t>Államháztartáson belüli megelőlegezések</t>
  </si>
  <si>
    <t>BEVÉTELEK ÖSSZESEN</t>
  </si>
  <si>
    <t>Működési bevételek</t>
  </si>
  <si>
    <t>Felhalmozási bevételek</t>
  </si>
  <si>
    <t>COFOG</t>
  </si>
  <si>
    <t>Személyi jellegű + járulék</t>
  </si>
  <si>
    <t>Dologi és egyéb kiadások</t>
  </si>
  <si>
    <t>Balatonfőkajári Közös Önkormányzati Hivatal, Balatonfőkajár</t>
  </si>
  <si>
    <t>Önkormányzatok igazgatási tev.</t>
  </si>
  <si>
    <t>Összesen:</t>
  </si>
  <si>
    <t>Balatonfőkajári Közös Önkormányzati Hivatal, társult községek</t>
  </si>
  <si>
    <t>Szennyvíz gyűjtése, tisztítása, elhelyezése</t>
  </si>
  <si>
    <t>Közutak, hidak, alagutak üzem.</t>
  </si>
  <si>
    <t>Kiemelt állami és önkormányzati rendezvények</t>
  </si>
  <si>
    <t>Közvilágítás</t>
  </si>
  <si>
    <t>Város és község gazd.</t>
  </si>
  <si>
    <t>Egyházak közösségi és hitéleti tev. támogatása</t>
  </si>
  <si>
    <t>Háziorvosi alapellátás</t>
  </si>
  <si>
    <t>Háziorvosi ügyeleti ellátás</t>
  </si>
  <si>
    <t>Fogorvosi alapelltás</t>
  </si>
  <si>
    <t>Családi és nővédelmi eü.ellátás</t>
  </si>
  <si>
    <t>Sportlétesítmények működtetése és fejlesztése</t>
  </si>
  <si>
    <t>Egyéb szoc. pénzbeli ellátások, támogatások</t>
  </si>
  <si>
    <t>Civil szervezetek működésének tám.</t>
  </si>
  <si>
    <t>Hosszabb időtartamú közfoglalkoztatás</t>
  </si>
  <si>
    <t>Könyvtári szolgáltatások</t>
  </si>
  <si>
    <t>Köztemető fenntartás</t>
  </si>
  <si>
    <t>Zöldterületek kezelése</t>
  </si>
  <si>
    <t>Önkorm. elszámolásai a központi költségvetéssel</t>
  </si>
  <si>
    <t>KIADÁSOK ÖSSZESEN</t>
  </si>
  <si>
    <t>TARTALÉK</t>
  </si>
  <si>
    <t>Megnevezés</t>
  </si>
  <si>
    <t>Telefondíj</t>
  </si>
  <si>
    <t>Karbantartás, kisjavítás</t>
  </si>
  <si>
    <t>Közvetített szolgáltatások</t>
  </si>
  <si>
    <t>Egyéb szolgáltatások</t>
  </si>
  <si>
    <t xml:space="preserve">Dologi kiadások </t>
  </si>
  <si>
    <t>Beruházási célú előzetesen felszámított általános forgalmi adó</t>
  </si>
  <si>
    <t>Járulékok</t>
  </si>
  <si>
    <t>Üzemeltetési anyagok beszerzése</t>
  </si>
  <si>
    <t>Informatikai szolgáltatások igénybevétele</t>
  </si>
  <si>
    <t>Bérleti és lízing díjak</t>
  </si>
  <si>
    <t>Karbantartási, kisjavítási szolgáltatások</t>
  </si>
  <si>
    <t>Működési célú előzetesen felszámított általános forgalmi adó</t>
  </si>
  <si>
    <t>Egyéb tárgyi eszközök beszerzése, létesítése</t>
  </si>
  <si>
    <t>Kiküldetés</t>
  </si>
  <si>
    <t>Vásárolt élelmezés</t>
  </si>
  <si>
    <t>Egyéb szolgáltatás</t>
  </si>
  <si>
    <t>Ingatlanok felújítása</t>
  </si>
  <si>
    <t>Felújítási célú előzetesen felszámított általános forgalmi adó</t>
  </si>
  <si>
    <t>Választott tisztségviselők juttatásai</t>
  </si>
  <si>
    <t>Képviselők tiszteletdíja</t>
  </si>
  <si>
    <t>Kiküldetések</t>
  </si>
  <si>
    <t>016080 - Kiemelt állami és önkormányzati rendezvények</t>
  </si>
  <si>
    <t>Reprezentáció</t>
  </si>
  <si>
    <t>064010 - Közvilágítás</t>
  </si>
  <si>
    <t>Kiküldetések kiadásai</t>
  </si>
  <si>
    <t>072111 - Háziorvosi alapellátás</t>
  </si>
  <si>
    <t>Szakmai anyagok beszerzése</t>
  </si>
  <si>
    <t>Közüzemi díjak</t>
  </si>
  <si>
    <t>Szakmai anyagok</t>
  </si>
  <si>
    <t>081030 - Sportlétesítmények, edzőtáborok működtetése és fejlesztése</t>
  </si>
  <si>
    <t>Rákóczi Szövetség</t>
  </si>
  <si>
    <t>041233 - Hosszabb időtartamú közfoglalkoztatás</t>
  </si>
  <si>
    <t>082044 - Könyvtári szolgáltatások</t>
  </si>
  <si>
    <t>Közvetített szolg.</t>
  </si>
  <si>
    <t>Családi támogatások</t>
  </si>
  <si>
    <t xml:space="preserve">a.)    a tárgyévi költségvetési bevételek főösszegét: </t>
  </si>
  <si>
    <t xml:space="preserve">     aa) működési bevételek:</t>
  </si>
  <si>
    <t xml:space="preserve">     ab) felhalmozási bevételek:</t>
  </si>
  <si>
    <t xml:space="preserve">     ac) finanszírozási bevételek:</t>
  </si>
  <si>
    <t>b.)   a tárgyévi költségvetési kiadások főösszegét:</t>
  </si>
  <si>
    <t xml:space="preserve">     ba) működési kiadások:</t>
  </si>
  <si>
    <t xml:space="preserve">     bb) felhalmozási kiadások:</t>
  </si>
  <si>
    <t xml:space="preserve">     bc) tartalékok:</t>
  </si>
  <si>
    <t xml:space="preserve">     bd) finanszírozási kiadások:</t>
  </si>
  <si>
    <t>Egyéb dologi kiadások</t>
  </si>
  <si>
    <t>Közlekedési költségtérítés Nagyné Vigh I.</t>
  </si>
  <si>
    <t>TOP Egészségház</t>
  </si>
  <si>
    <t xml:space="preserve">EFOP " Humán közszolgáltatások fejlesztése az Észak-Balatoni térségben "  </t>
  </si>
  <si>
    <t>Ruházati költségtérítés</t>
  </si>
  <si>
    <t>Üzemeltetési anyagok</t>
  </si>
  <si>
    <t>Egyéb külső személyi juttatások</t>
  </si>
  <si>
    <t>Köztemetés</t>
  </si>
  <si>
    <t>Király Pálné</t>
  </si>
  <si>
    <t xml:space="preserve">Egyéb közhatalmi bevételek </t>
  </si>
  <si>
    <t>Az önkormányzati vagyonnal való gazdálkodás</t>
  </si>
  <si>
    <t>2.</t>
  </si>
  <si>
    <t>Kiadások (Ft)</t>
  </si>
  <si>
    <t>KÖLTSÉGVETÉSI SZERV ELŐIRÁNYZATAI KÖZÖS HIVATAL</t>
  </si>
  <si>
    <t>Rovat megnevezése</t>
  </si>
  <si>
    <t>Rovat-szám</t>
  </si>
  <si>
    <t>kötelező feladatok</t>
  </si>
  <si>
    <t>önként vállalt feladatok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</si>
  <si>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</si>
  <si>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</si>
  <si>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</si>
  <si>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</si>
  <si>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</si>
  <si>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</si>
  <si>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</si>
  <si>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</si>
  <si>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</si>
  <si>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</si>
  <si>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</si>
  <si>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K1106</t>
  </si>
  <si>
    <t>Béren kívüli juttatások</t>
  </si>
  <si>
    <t>K1107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</si>
  <si>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</si>
  <si>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</si>
  <si>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</si>
  <si>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</si>
  <si>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</si>
  <si>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</si>
  <si>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</si>
  <si>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</si>
  <si>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</si>
  <si>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</si>
  <si>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</si>
  <si>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</si>
  <si>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K121</t>
  </si>
  <si>
    <t>Munkavégzésre irányuló egyéb jogviszonyban nem saját foglalkoztatottnak fizetett juttatások</t>
  </si>
  <si>
    <t>K122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</si>
  <si>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</si>
  <si>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</si>
  <si>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</si>
  <si>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</si>
  <si>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</si>
  <si>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</si>
  <si>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</si>
  <si>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K311</t>
  </si>
  <si>
    <t>K312</t>
  </si>
  <si>
    <t>Árubeszerzés</t>
  </si>
  <si>
    <t>K313</t>
  </si>
  <si>
    <t xml:space="preserve">Készletbeszerzés </t>
  </si>
  <si>
    <t>K31</t>
  </si>
  <si>
    <t>K321</t>
  </si>
  <si>
    <t>Egyéb kommunikációs szolgáltatások</t>
  </si>
  <si>
    <t>K322</t>
  </si>
  <si>
    <t xml:space="preserve">Kommunikációs szolgáltatások </t>
  </si>
  <si>
    <t>K32</t>
  </si>
  <si>
    <t>K331</t>
  </si>
  <si>
    <t>K332</t>
  </si>
  <si>
    <t>K333</t>
  </si>
  <si>
    <t>K334</t>
  </si>
  <si>
    <t>K335</t>
  </si>
  <si>
    <t xml:space="preserve">Szakmai tevékenységet segítő szolgáltatások </t>
  </si>
  <si>
    <t>K336</t>
  </si>
  <si>
    <t>K337</t>
  </si>
  <si>
    <t xml:space="preserve">Szolgáltatási kiadások </t>
  </si>
  <si>
    <t>K33</t>
  </si>
  <si>
    <t>K341</t>
  </si>
  <si>
    <t>Reklám- és propagandakiadások</t>
  </si>
  <si>
    <t>K342</t>
  </si>
  <si>
    <t xml:space="preserve">Kiküldetések, reklám- és propagandakiadások </t>
  </si>
  <si>
    <t>K34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</si>
  <si>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</si>
  <si>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</si>
  <si>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</si>
  <si>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</si>
  <si>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</si>
  <si>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</si>
  <si>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</si>
  <si>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K355</t>
  </si>
  <si>
    <t xml:space="preserve">Különféle befizetések és egyéb dologi kiadások 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</si>
  <si>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</si>
  <si>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</si>
  <si>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</si>
  <si>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</si>
  <si>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</si>
  <si>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</si>
  <si>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</si>
  <si>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</si>
  <si>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</si>
  <si>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</si>
  <si>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</si>
  <si>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</si>
  <si>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</si>
  <si>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</si>
  <si>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</si>
  <si>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</si>
  <si>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</si>
  <si>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</si>
  <si>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</si>
  <si>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</si>
  <si>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</si>
  <si>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</si>
  <si>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</si>
  <si>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</si>
  <si>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</si>
  <si>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</si>
  <si>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</si>
  <si>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</si>
  <si>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</si>
  <si>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</si>
  <si>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</si>
  <si>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</si>
  <si>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</si>
  <si>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</si>
  <si>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</si>
  <si>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</si>
  <si>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</si>
  <si>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</si>
  <si>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</si>
  <si>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</si>
  <si>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</si>
  <si>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</si>
  <si>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</si>
  <si>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</si>
  <si>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</si>
  <si>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</si>
  <si>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</si>
  <si>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</si>
  <si>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</si>
  <si>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</si>
  <si>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</si>
  <si>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</si>
  <si>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</si>
  <si>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</si>
  <si>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</si>
  <si>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</si>
  <si>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</si>
  <si>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</si>
  <si>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</si>
  <si>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</si>
  <si>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</si>
  <si>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</si>
  <si>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</si>
  <si>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</si>
  <si>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</si>
  <si>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</si>
  <si>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</si>
  <si>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</si>
  <si>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</si>
  <si>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</si>
  <si>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</si>
  <si>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</si>
  <si>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</si>
  <si>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</si>
  <si>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</si>
  <si>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</si>
  <si>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</si>
  <si>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</si>
  <si>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</si>
  <si>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</si>
  <si>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</si>
  <si>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</si>
  <si>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</si>
  <si>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</si>
  <si>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</si>
  <si>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</si>
  <si>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</si>
  <si>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</si>
  <si>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</si>
  <si>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</si>
  <si>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</si>
  <si>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</si>
  <si>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</si>
  <si>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</si>
  <si>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</si>
  <si>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</si>
  <si>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</si>
  <si>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</si>
  <si>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</si>
  <si>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</si>
  <si>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</si>
  <si>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</si>
  <si>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</si>
  <si>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</si>
  <si>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</si>
  <si>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</si>
  <si>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</si>
  <si>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</si>
  <si>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</si>
  <si>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</si>
  <si>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</si>
  <si>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</si>
  <si>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</si>
  <si>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</si>
  <si>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</si>
  <si>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</si>
  <si>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</si>
  <si>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</si>
  <si>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</si>
  <si>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</si>
  <si>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</si>
  <si>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</si>
  <si>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</si>
  <si>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</si>
  <si>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</si>
  <si>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</si>
  <si>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</si>
  <si>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</si>
  <si>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</si>
  <si>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</si>
  <si>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</si>
  <si>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</si>
  <si>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</si>
  <si>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</si>
  <si>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</si>
  <si>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</si>
  <si>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</si>
  <si>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3.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</si>
  <si>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</si>
  <si>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</si>
  <si>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</si>
  <si>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</si>
  <si>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</si>
  <si>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</si>
  <si>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</si>
  <si>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</si>
  <si>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</si>
  <si>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</si>
  <si>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</si>
  <si>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</si>
  <si>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</si>
  <si>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</si>
  <si>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</si>
  <si>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</si>
  <si>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</si>
  <si>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</si>
  <si>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</si>
  <si>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</si>
  <si>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</si>
  <si>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</si>
  <si>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</si>
  <si>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</si>
  <si>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</si>
  <si>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</si>
  <si>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</si>
  <si>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</si>
  <si>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</si>
  <si>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</si>
  <si>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</si>
  <si>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</si>
  <si>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</si>
  <si>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</si>
  <si>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</si>
  <si>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</si>
  <si>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</si>
  <si>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</si>
  <si>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</si>
  <si>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</si>
  <si>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</si>
  <si>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</si>
  <si>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</si>
  <si>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</si>
  <si>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</si>
  <si>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</si>
  <si>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</si>
  <si>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</si>
  <si>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</si>
  <si>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</si>
  <si>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</si>
  <si>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</si>
  <si>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</si>
  <si>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</si>
  <si>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</si>
  <si>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</si>
  <si>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</si>
  <si>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</si>
  <si>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</si>
  <si>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</si>
  <si>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</si>
  <si>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</si>
  <si>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</si>
  <si>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</si>
  <si>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</si>
  <si>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</si>
  <si>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</si>
  <si>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</si>
  <si>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</si>
  <si>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</si>
  <si>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</si>
  <si>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</si>
  <si>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</si>
  <si>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</si>
  <si>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</si>
  <si>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</si>
  <si>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</si>
  <si>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</si>
  <si>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</si>
  <si>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</si>
  <si>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</si>
  <si>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</si>
  <si>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</si>
  <si>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</si>
  <si>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</si>
  <si>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</si>
  <si>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</si>
  <si>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</si>
  <si>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</si>
  <si>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</si>
  <si>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</si>
  <si>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</si>
  <si>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</si>
  <si>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</si>
  <si>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</si>
  <si>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</si>
  <si>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</si>
  <si>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</si>
  <si>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</si>
  <si>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</si>
  <si>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</si>
  <si>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</si>
  <si>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</si>
  <si>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</si>
  <si>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</si>
  <si>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</si>
  <si>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</si>
  <si>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</si>
  <si>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</si>
  <si>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</si>
  <si>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</si>
  <si>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</si>
  <si>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</si>
  <si>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</si>
  <si>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</si>
  <si>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</si>
  <si>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</si>
  <si>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</si>
  <si>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</si>
  <si>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</si>
  <si>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</si>
  <si>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</si>
  <si>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</si>
  <si>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</si>
  <si>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</si>
  <si>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</si>
  <si>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</si>
  <si>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</si>
  <si>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</si>
  <si>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</si>
  <si>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</si>
  <si>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</si>
  <si>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</si>
  <si>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</si>
  <si>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</si>
  <si>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</si>
  <si>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</si>
  <si>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</si>
  <si>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</si>
  <si>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</si>
  <si>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</si>
  <si>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</si>
  <si>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</si>
  <si>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</si>
  <si>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</si>
  <si>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</si>
  <si>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</si>
  <si>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</si>
  <si>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</si>
  <si>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</si>
  <si>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</si>
  <si>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</si>
  <si>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</si>
  <si>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</si>
  <si>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</si>
  <si>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</si>
  <si>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</si>
  <si>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</si>
  <si>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</si>
  <si>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</si>
  <si>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</si>
  <si>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</si>
  <si>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</si>
  <si>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</si>
  <si>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</si>
  <si>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</si>
  <si>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</si>
  <si>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</si>
  <si>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</si>
  <si>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</si>
  <si>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</si>
  <si>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1.</t>
  </si>
  <si>
    <t xml:space="preserve">Az egységes rovatrend szerinti kiemelt kiadási- és bevételi jogcímek </t>
  </si>
  <si>
    <t>adatok: Ft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</si>
  <si>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</si>
  <si>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</si>
  <si>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</si>
  <si>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</si>
  <si>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</si>
  <si>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</si>
  <si>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</si>
  <si>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</si>
  <si>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</si>
  <si>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</si>
  <si>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</si>
  <si>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</si>
  <si>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</si>
  <si>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</si>
  <si>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</si>
  <si>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</si>
  <si>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</si>
  <si>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</si>
  <si>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</si>
  <si>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ÖNKORMÁNYZATI ELŐIRÁNYZATOK</t>
  </si>
  <si>
    <t>Működési célú visszatérítendő támogatások ÁHK-re</t>
  </si>
  <si>
    <t>Egyéb működési célú támogatások ÁHK-re</t>
  </si>
  <si>
    <t>K513</t>
  </si>
  <si>
    <t>Működési bevételek összesen</t>
  </si>
  <si>
    <t>Felhalmozási bevételek összesen</t>
  </si>
  <si>
    <t xml:space="preserve">Működési célú költségvetési támogatások és kiegészítő támogatások </t>
  </si>
  <si>
    <t>B74</t>
  </si>
  <si>
    <t>B75</t>
  </si>
  <si>
    <t>4.</t>
  </si>
  <si>
    <t>Támogatások, kölcsönök bevételei (Ft)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</si>
  <si>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</si>
  <si>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</si>
  <si>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</si>
  <si>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</si>
  <si>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</si>
  <si>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</si>
  <si>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</si>
  <si>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</si>
  <si>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</si>
  <si>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</si>
  <si>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</si>
  <si>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</si>
  <si>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központi kezelésű előirányzatoktól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</si>
  <si>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</si>
  <si>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</si>
  <si>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</si>
  <si>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</si>
  <si>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</si>
  <si>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B64</t>
  </si>
  <si>
    <t>egyéb civil szervezetektől</t>
  </si>
  <si>
    <r>
      <t xml:space="preserve">háztartásoktól </t>
    </r>
    <r>
      <rPr>
        <b/>
        <sz val="10"/>
        <rFont val="Bookman Old Style"/>
        <family val="1"/>
        <charset val="238"/>
      </rPr>
      <t>(működési célú kölcsönök visszatérülése)</t>
    </r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</si>
  <si>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</si>
  <si>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</si>
  <si>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</si>
  <si>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</si>
  <si>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</si>
  <si>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</si>
  <si>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</si>
  <si>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</si>
  <si>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B65</t>
  </si>
  <si>
    <t>háztartásoktól</t>
  </si>
  <si>
    <t>Európai Uniótól</t>
  </si>
  <si>
    <t xml:space="preserve">Egyéb működési célú átvett pénzeszközök </t>
  </si>
  <si>
    <r>
      <t xml:space="preserve">háztartásoktól </t>
    </r>
    <r>
      <rPr>
        <b/>
        <sz val="10"/>
        <rFont val="Bookman Old Style"/>
        <family val="1"/>
        <charset val="238"/>
      </rPr>
      <t>(társulati érdekeltségi hjár.)</t>
    </r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</si>
  <si>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</si>
  <si>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</si>
  <si>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r>
      <t xml:space="preserve">társadalombiztosítás pénzügyi alapjaitól </t>
    </r>
    <r>
      <rPr>
        <b/>
        <sz val="10"/>
        <rFont val="Bookman Old Style"/>
        <family val="1"/>
        <charset val="238"/>
      </rPr>
      <t>(fogorvos, védőnő)</t>
    </r>
  </si>
  <si>
    <r>
      <t xml:space="preserve">elkülönített állami pénzalapoktól </t>
    </r>
    <r>
      <rPr>
        <b/>
        <sz val="10"/>
        <rFont val="Bookman Old Style"/>
        <family val="1"/>
        <charset val="238"/>
      </rPr>
      <t>(közfoglalkoztatás támogatása)</t>
    </r>
  </si>
  <si>
    <r>
      <t xml:space="preserve">fejezeti kezelésű előirányzatok </t>
    </r>
    <r>
      <rPr>
        <b/>
        <sz val="10"/>
        <rFont val="Bookman Old Style"/>
        <family val="1"/>
        <charset val="238"/>
      </rPr>
      <t>EU-s programokra</t>
    </r>
    <r>
      <rPr>
        <sz val="10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(EFOP-pályázat)</t>
    </r>
  </si>
  <si>
    <t>5.</t>
  </si>
  <si>
    <t>Támogatások, kölcsönök nyújtása és törlesztése (Ft)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</si>
  <si>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</si>
  <si>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</si>
  <si>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</si>
  <si>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</si>
  <si>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</si>
  <si>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</si>
  <si>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</si>
  <si>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</si>
  <si>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</si>
  <si>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</si>
  <si>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</si>
  <si>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</si>
  <si>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</si>
  <si>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 xml:space="preserve">háztartások részére 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</si>
  <si>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</si>
  <si>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</si>
  <si>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</si>
  <si>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</si>
  <si>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</si>
  <si>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</si>
  <si>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</si>
  <si>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</si>
  <si>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pénzügyi vállalkozások részére </t>
  </si>
  <si>
    <t xml:space="preserve">egyéb vállalkozások részére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</si>
  <si>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</si>
  <si>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</si>
  <si>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</si>
  <si>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</si>
  <si>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</si>
  <si>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>háztartások részére</t>
  </si>
  <si>
    <t xml:space="preserve">Felhalmozási célú visszatérítendő támogatások, kölcsönök nyújtása államháztartáson kívülre </t>
  </si>
  <si>
    <r>
      <t xml:space="preserve">egyházi jogi személyek részére </t>
    </r>
    <r>
      <rPr>
        <b/>
        <sz val="10"/>
        <rFont val="Bookman Old Style"/>
        <family val="1"/>
        <charset val="238"/>
      </rPr>
      <t>(Református Egyház, iskola támogatása)</t>
    </r>
  </si>
  <si>
    <r>
      <t xml:space="preserve">háztartások részére </t>
    </r>
    <r>
      <rPr>
        <b/>
        <sz val="10"/>
        <rFont val="Bookman Old Style"/>
        <family val="1"/>
        <charset val="238"/>
      </rPr>
      <t>(temetési, egyéb szociális  kölcsönök)</t>
    </r>
  </si>
  <si>
    <r>
      <t xml:space="preserve">társulások és költségvetési szerveik részére </t>
    </r>
    <r>
      <rPr>
        <b/>
        <sz val="10"/>
        <rFont val="Bookman Old Style"/>
        <family val="1"/>
        <charset val="238"/>
      </rPr>
      <t>(DBRHÖT, Tátorján, Kelet Balatoni ÖT)</t>
    </r>
  </si>
  <si>
    <r>
      <t xml:space="preserve">egyéb civil szervezetek részére </t>
    </r>
    <r>
      <rPr>
        <b/>
        <sz val="10"/>
        <rFont val="Bookman Old Style"/>
        <family val="1"/>
        <charset val="238"/>
      </rPr>
      <t>(Falumúzeum, Börkösréti VT, egyéb civil szerv.)</t>
    </r>
  </si>
  <si>
    <t>6.</t>
  </si>
  <si>
    <t>Lakosságnak juttatott támogatások, szociális, rászorultsági jellegű ellátások (Ft)</t>
  </si>
  <si>
    <t xml:space="preserve">Természetben nyújtott gyermekvédelmi támogatás Gyvt.20/C/4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</si>
  <si>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</si>
  <si>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</si>
  <si>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</si>
  <si>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</si>
  <si>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</si>
  <si>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</si>
  <si>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</si>
  <si>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</si>
  <si>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</si>
  <si>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</si>
  <si>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</si>
  <si>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</si>
  <si>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</si>
  <si>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</si>
  <si>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</si>
  <si>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</si>
  <si>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</si>
  <si>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</si>
  <si>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</si>
  <si>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</si>
  <si>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</si>
  <si>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települési támogatás [Szoctv. 45.§]</t>
  </si>
  <si>
    <t>temetési támogatás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</si>
  <si>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</si>
  <si>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</si>
  <si>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</si>
  <si>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</si>
  <si>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</si>
  <si>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</si>
  <si>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r>
      <t xml:space="preserve">önkormányzat által saját hatáskörben (nem szociális és gyermekvédelmi előírások alapján) adott pénzügyi ellátás </t>
    </r>
    <r>
      <rPr>
        <b/>
        <sz val="12"/>
        <rFont val="Bookman Old Style"/>
        <family val="1"/>
        <charset val="238"/>
      </rPr>
      <t>(iskolakezdési támogatás)</t>
    </r>
  </si>
  <si>
    <r>
      <t xml:space="preserve">önkormányzat által saját hatáskörben (nem szociális és gyermekvédelmi előírások alapján) adott természetbeni ellátás </t>
    </r>
    <r>
      <rPr>
        <b/>
        <sz val="12"/>
        <rFont val="Bookman Old Style"/>
        <family val="1"/>
        <charset val="238"/>
      </rPr>
      <t>(szociális tüzifa)</t>
    </r>
  </si>
  <si>
    <t xml:space="preserve">Egyéb nem intézményi ellátások </t>
  </si>
  <si>
    <t xml:space="preserve">Rendszeres gyermekvédelmi kedvezmény/Gyvt 20/A </t>
  </si>
  <si>
    <t>Céltartalékok-</t>
  </si>
  <si>
    <t>Általános tartalékok</t>
  </si>
  <si>
    <t>Általános- és céltartalékok (Ft)</t>
  </si>
  <si>
    <t>7.</t>
  </si>
  <si>
    <t>8.</t>
  </si>
  <si>
    <t>Beruházások és felújítások (Ft)</t>
  </si>
  <si>
    <t>KÖLTSÉGVETÉSI SZERV KÖH</t>
  </si>
  <si>
    <t>MINDÖSSZESEN</t>
  </si>
  <si>
    <t xml:space="preserve">Ingatlanok beszerzése, létesítése </t>
  </si>
  <si>
    <t>Ingatlanok felújítása összesen</t>
  </si>
  <si>
    <t>9.</t>
  </si>
  <si>
    <t>Helyi adók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</si>
  <si>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</si>
  <si>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</si>
  <si>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</si>
  <si>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</si>
  <si>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</si>
  <si>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</si>
  <si>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</si>
  <si>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</si>
  <si>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</si>
  <si>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</si>
  <si>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</si>
  <si>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</si>
  <si>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</si>
  <si>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</si>
  <si>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</si>
  <si>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</si>
  <si>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</si>
  <si>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</si>
  <si>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</si>
  <si>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</si>
  <si>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</si>
  <si>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</si>
  <si>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</si>
  <si>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10.</t>
  </si>
  <si>
    <t>Foglalkoztatottak létszáma (fő)</t>
  </si>
  <si>
    <t>MEGNEVEZÉS</t>
  </si>
  <si>
    <t>Költségvetési engedélyezett létszámkeret  (fő) Balatonfőkajár Község Önkormányzata</t>
  </si>
  <si>
    <t xml:space="preserve">Költségvetési engedélyezett létszámkeret  (fő) Balatonfőkajári Közös Önkormányzati Hivatal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</si>
  <si>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</si>
  <si>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</si>
  <si>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</si>
  <si>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</si>
  <si>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</si>
  <si>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</si>
  <si>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</si>
  <si>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</si>
  <si>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</si>
  <si>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</si>
  <si>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</si>
  <si>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</si>
  <si>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</si>
  <si>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</si>
  <si>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</si>
  <si>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</si>
  <si>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</si>
  <si>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</si>
  <si>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</si>
  <si>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</si>
  <si>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</si>
  <si>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</si>
  <si>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</si>
  <si>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</si>
  <si>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</si>
  <si>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</si>
  <si>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</si>
  <si>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11.</t>
  </si>
  <si>
    <t>Irányító szervi támogatások folyósítása (Ft)</t>
  </si>
  <si>
    <t>Közös hivatal</t>
  </si>
  <si>
    <t>Központi, irányító szervi támogatások folyósítása működési célra</t>
  </si>
  <si>
    <t>Központi, irányító szervi támogatások folyósítása felhalmozási célra</t>
  </si>
  <si>
    <t>ÖSSZESEN:</t>
  </si>
  <si>
    <t>12.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</si>
  <si>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</si>
  <si>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</si>
  <si>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</si>
  <si>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</si>
  <si>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</si>
  <si>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 xml:space="preserve">ÖNKORMÁNYZAT  ELŐIRÁNYZATA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</si>
  <si>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</si>
  <si>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</si>
  <si>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</si>
  <si>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</si>
  <si>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</si>
  <si>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</si>
  <si>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</si>
  <si>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</si>
  <si>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</si>
  <si>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</si>
  <si>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</si>
  <si>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</si>
  <si>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</si>
  <si>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</si>
  <si>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</si>
  <si>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</si>
  <si>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ÖSSZESEN</t>
  </si>
  <si>
    <t>Jubileumi jutalom SZOCHO</t>
  </si>
  <si>
    <t>Megelőlegezés visszafizetése</t>
  </si>
  <si>
    <t>Maradvány igénybevétele, bevétel</t>
  </si>
  <si>
    <t>Fin.bevételek - kiadások</t>
  </si>
  <si>
    <t xml:space="preserve">a) bevételi főösszege:     </t>
  </si>
  <si>
    <t xml:space="preserve">    aa) költségvetési pénzmaradvány</t>
  </si>
  <si>
    <t xml:space="preserve">b) kiadási főösszege:      </t>
  </si>
  <si>
    <t xml:space="preserve">ba) személyi juttatások: </t>
  </si>
  <si>
    <t>bb) munkaadókat terhelő járulékok:</t>
  </si>
  <si>
    <t>bc) dologi, és egyéb folyó kiadások:</t>
  </si>
  <si>
    <t>bd) felhalmozási kiadások:</t>
  </si>
  <si>
    <t xml:space="preserve">    melyből:</t>
  </si>
  <si>
    <t xml:space="preserve">     melyből:</t>
  </si>
  <si>
    <t>Czaun Marianna</t>
  </si>
  <si>
    <t>Utazási költségtérítés</t>
  </si>
  <si>
    <t>Balatonfőkajár</t>
  </si>
  <si>
    <t>Alpolgármester költségtérítése</t>
  </si>
  <si>
    <t>Kéviselői juttatások SZOCHO</t>
  </si>
  <si>
    <t>Külső személyi jutt.-reprezentáció</t>
  </si>
  <si>
    <t>Repi SZOCHÓ</t>
  </si>
  <si>
    <t>Repi SZJA-15%</t>
  </si>
  <si>
    <t>Szemüveg hj.</t>
  </si>
  <si>
    <t>072311 Fogorvosi alapellátás</t>
  </si>
  <si>
    <t>0822044 Könyvtári Szolgáltatás</t>
  </si>
  <si>
    <t>Összes bérjell.</t>
  </si>
  <si>
    <t>Összes járulék</t>
  </si>
  <si>
    <t>Összes bérjell</t>
  </si>
  <si>
    <t>Össz szem.jutt.</t>
  </si>
  <si>
    <t>Össz járulék</t>
  </si>
  <si>
    <t>Össz.szem.jell</t>
  </si>
  <si>
    <t>066010 Zöldterületgazdálkodás</t>
  </si>
  <si>
    <t>Gibor László</t>
  </si>
  <si>
    <t>Össz.szem.jell.</t>
  </si>
  <si>
    <t>Össz. Járulék</t>
  </si>
  <si>
    <t>Megbízási díj</t>
  </si>
  <si>
    <t>Forróné S.Zsuzsanna</t>
  </si>
  <si>
    <t>Mb.díj nem saját  foglalkoztatott</t>
  </si>
  <si>
    <t>Össz.szem.jutt.</t>
  </si>
  <si>
    <t>Össz.árulék</t>
  </si>
  <si>
    <t>041233 Hosszabb idejű közfoglalkoztatás</t>
  </si>
  <si>
    <t>Sütő Viktor</t>
  </si>
  <si>
    <t>Öszz.szem.jutt.</t>
  </si>
  <si>
    <t>Össz.járulék</t>
  </si>
  <si>
    <t>Balatonfőkajár Község Önkormányzata és intézményei tervezett bevételek</t>
  </si>
  <si>
    <t>2021.terv</t>
  </si>
  <si>
    <t>Központi, iányító szervi támogatás</t>
  </si>
  <si>
    <t>Szolgáltatások (lakbér,terembérlet, földhaszonbér, sírhely)</t>
  </si>
  <si>
    <t>Egyéb működési bevétel</t>
  </si>
  <si>
    <t>Műk.célú,költségvetési és kieg.tám.</t>
  </si>
  <si>
    <t>Műk.célú.tám.,kölcsön-ÁH-on belülről</t>
  </si>
  <si>
    <t>Egyéb bírság</t>
  </si>
  <si>
    <t>Talajterhelési díj</t>
  </si>
  <si>
    <t>Tulajdonosi bev-koncessziós díj</t>
  </si>
  <si>
    <t>ÁH-on belüli megelőlegezés</t>
  </si>
  <si>
    <t>MŰKÖDÉSI CÉLÚ KÖLCSÖN ÁH-ON BELÜL</t>
  </si>
  <si>
    <t>Egyéb vállalkozástól átvett pénzestk.</t>
  </si>
  <si>
    <t>Háztartásoktól flh.célú kölcsön megtérülése-VIZIKÖZMŰ érd.hj.</t>
  </si>
  <si>
    <t>EBBŐL</t>
  </si>
  <si>
    <t>B411</t>
  </si>
  <si>
    <t>Szolgáltatások bevétele</t>
  </si>
  <si>
    <t>Közvetített szolg. (telefon, háziorvos)</t>
  </si>
  <si>
    <t>Balatonfőkajár Község Önkormányzata és intézményei tervezett kiadásai (Ft)</t>
  </si>
  <si>
    <t>Törvény szerinti illetmények</t>
  </si>
  <si>
    <t>Egyéb költségtérítés</t>
  </si>
  <si>
    <t>K51*</t>
  </si>
  <si>
    <t>Munkaadót terhelő járulékok</t>
  </si>
  <si>
    <t>Szociális hozzájárulás 15,5%</t>
  </si>
  <si>
    <t>Cafetéria SZOCHO</t>
  </si>
  <si>
    <t>Munk.terhelő SZJA 15%</t>
  </si>
  <si>
    <t>Cafetéria SZJA</t>
  </si>
  <si>
    <t>K52*</t>
  </si>
  <si>
    <t>Munkaruha</t>
  </si>
  <si>
    <t>Szakmai tev.seg.szolg.</t>
  </si>
  <si>
    <t>Műk.célú el.felsz-ÁFA</t>
  </si>
  <si>
    <t>K53*</t>
  </si>
  <si>
    <t>K5*</t>
  </si>
  <si>
    <t>Üzemelt.anyagok beszerz.</t>
  </si>
  <si>
    <t>Tisztítószer</t>
  </si>
  <si>
    <t>Irodaszer</t>
  </si>
  <si>
    <t>Informatikai szolgáltatások</t>
  </si>
  <si>
    <t>Computer-S Kft.</t>
  </si>
  <si>
    <t>Kalásznet</t>
  </si>
  <si>
    <t>Egyéb komm.szolg.</t>
  </si>
  <si>
    <t>GÁZ-NKM Energia Zrt.</t>
  </si>
  <si>
    <t>VÍZ-DRV Zrt.</t>
  </si>
  <si>
    <t>ÁRAM-E.On</t>
  </si>
  <si>
    <t>Bérleti és lízingdíjak</t>
  </si>
  <si>
    <t>Karbantartás, kisjavítási szolg.</t>
  </si>
  <si>
    <t>Tűzoltókészülékek karbant</t>
  </si>
  <si>
    <t>Bankköltség</t>
  </si>
  <si>
    <t>Kéményseprés</t>
  </si>
  <si>
    <t>Szemétszállítás-NHSZ</t>
  </si>
  <si>
    <t>Kerekítés</t>
  </si>
  <si>
    <t>KIADÁSOK</t>
  </si>
  <si>
    <t>Egyéb</t>
  </si>
  <si>
    <t>011130 Önkormányzatok és önk. Hivatalok jogalkotó és általános igazgatási tevékenysége</t>
  </si>
  <si>
    <t>Kajár</t>
  </si>
  <si>
    <t>K1*</t>
  </si>
  <si>
    <t>Munkáltatót terhelő közterhek</t>
  </si>
  <si>
    <t>Munkált.terh. SZJA</t>
  </si>
  <si>
    <t>Cafetéria-15%</t>
  </si>
  <si>
    <t>K2*</t>
  </si>
  <si>
    <t>Egyéb kommunikációs szolg.</t>
  </si>
  <si>
    <t>Karbantartás, kisjavítási szolgáltatás</t>
  </si>
  <si>
    <t>Közvetített szolgáltatás</t>
  </si>
  <si>
    <t>Szakmai tev.segítő szolg.</t>
  </si>
  <si>
    <t>Működési célú el.felsz.ÁFA</t>
  </si>
  <si>
    <t>K3*</t>
  </si>
  <si>
    <t>01130 Önkormányzatok és önkormányzati hivatalok jogalkotó és általános igazgatási tevékenysége</t>
  </si>
  <si>
    <t>Választott tisztségv.jutt.</t>
  </si>
  <si>
    <t>PM munkabér</t>
  </si>
  <si>
    <t>PM Cafetéria</t>
  </si>
  <si>
    <t>PM szemüveg</t>
  </si>
  <si>
    <t>Tiszteletdíj</t>
  </si>
  <si>
    <t>Király Károly</t>
  </si>
  <si>
    <t>Király Mónika</t>
  </si>
  <si>
    <t>Krizsó Krisztián</t>
  </si>
  <si>
    <t>Takács Gergely</t>
  </si>
  <si>
    <t>Takács István</t>
  </si>
  <si>
    <t>Végh Attila</t>
  </si>
  <si>
    <t>SZOCHO PM</t>
  </si>
  <si>
    <t>SZOCHO képviselők</t>
  </si>
  <si>
    <t>Reprezentáció SZOCHO</t>
  </si>
  <si>
    <t>Reprezentáció SZJA</t>
  </si>
  <si>
    <t>Médiacenter-Hu domain</t>
  </si>
  <si>
    <t>WEB Biztons.Inf.</t>
  </si>
  <si>
    <t>Fehérvár Klíma Kft.</t>
  </si>
  <si>
    <t>Telefondíj -5%</t>
  </si>
  <si>
    <t>Telefondíj -27%</t>
  </si>
  <si>
    <t>DE-NÉ Bt</t>
  </si>
  <si>
    <t>Szakály Ferencné-könyvvit.szolg.</t>
  </si>
  <si>
    <t>ITV Albatech Kft.</t>
  </si>
  <si>
    <t>T-Systems Mo. Kft.</t>
  </si>
  <si>
    <t>Orvosi alkalmassági</t>
  </si>
  <si>
    <t>Szállítási szolgáltatás</t>
  </si>
  <si>
    <t>KERIGON Távfelügyelet</t>
  </si>
  <si>
    <t>FALUNAP-műsorszolg.</t>
  </si>
  <si>
    <t>Vállalati vagyonbizt.</t>
  </si>
  <si>
    <t>Telefonkész.bizt.</t>
  </si>
  <si>
    <t>Kamatkiadások</t>
  </si>
  <si>
    <t>Cofog összesen:</t>
  </si>
  <si>
    <t>013320 - Köztemető fenntartés és működtetés</t>
  </si>
  <si>
    <t>Üzemelt.anyagok besz.</t>
  </si>
  <si>
    <t>Üzemanyag</t>
  </si>
  <si>
    <t>013350 - Az önkormányzati vagyonnal való gazdálkodással kapcsolatos feladatok</t>
  </si>
  <si>
    <t>Kossuth 10.</t>
  </si>
  <si>
    <t>Móricz Zs.3</t>
  </si>
  <si>
    <t>Móricz Zs.5.</t>
  </si>
  <si>
    <t>Móricz Zs.</t>
  </si>
  <si>
    <t>Bérlakás-Petőfi 21</t>
  </si>
  <si>
    <t>Gáz</t>
  </si>
  <si>
    <t>Víz</t>
  </si>
  <si>
    <t>Áram</t>
  </si>
  <si>
    <t>Bérlakás-Kossuth 10/1.</t>
  </si>
  <si>
    <t>Készletbeszerzés</t>
  </si>
  <si>
    <t>Műsorszolgáltatás, hangosítás</t>
  </si>
  <si>
    <t>Reklám és propaganda kiadásai</t>
  </si>
  <si>
    <t>meghívók</t>
  </si>
  <si>
    <t>018010 - Önkormányzatok elszámolása a központi költségvetéssel</t>
  </si>
  <si>
    <t>ÁH-on belül</t>
  </si>
  <si>
    <t>018030 Támogatási célú finanszírozási műveletek</t>
  </si>
  <si>
    <t>Műk.célú tám.ÁH-on belül</t>
  </si>
  <si>
    <t>KBTÖT belső ellenőrzés</t>
  </si>
  <si>
    <t>D.B.Reg. Hull.Önk.Társ.</t>
  </si>
  <si>
    <t>Tátorj.Szoc.Szolg.-Családs.</t>
  </si>
  <si>
    <t>Műk.c.visszat.tám.ÁH kívülre</t>
  </si>
  <si>
    <t>Egyéb műk.célú tám.ÁH kívülre</t>
  </si>
  <si>
    <t>nonprofit gazd.társ.</t>
  </si>
  <si>
    <t>Börkösréti Vízitársulat</t>
  </si>
  <si>
    <t>háztartásoknak</t>
  </si>
  <si>
    <t xml:space="preserve">Tartalékok </t>
  </si>
  <si>
    <t>K55*</t>
  </si>
  <si>
    <t>K5915</t>
  </si>
  <si>
    <t>Kp.,irány.szervi tám.folyós.</t>
  </si>
  <si>
    <t>K59*</t>
  </si>
  <si>
    <t xml:space="preserve">orvosi alkalmassági </t>
  </si>
  <si>
    <t>kerekítés</t>
  </si>
  <si>
    <t>045160 - Közutak, hidak, alagutak üzemeltetése, fenntartása</t>
  </si>
  <si>
    <t>Kisebb útjavítás</t>
  </si>
  <si>
    <t>051030 - Nem veszélyes (települési) hulladék vegyes (ömlesztett) begyűjtése, szállítása, átrakása</t>
  </si>
  <si>
    <t>052020 - Szennyvíz gyűjtésem tisztítása, elhelyezése</t>
  </si>
  <si>
    <t>Egyéb tárgyi eszk.felújtítása</t>
  </si>
  <si>
    <t>DRV gördülő szerint</t>
  </si>
  <si>
    <t>Fel.c.előz.felsz.ÁFA</t>
  </si>
  <si>
    <t>K57*</t>
  </si>
  <si>
    <t>Fényforrás</t>
  </si>
  <si>
    <t>E.On</t>
  </si>
  <si>
    <t>066010 - Zöldterület-kezelés</t>
  </si>
  <si>
    <t>Giber László</t>
  </si>
  <si>
    <t>Munkadót terhelő járulékok</t>
  </si>
  <si>
    <t>Munkaadót terh.SZJA 15%</t>
  </si>
  <si>
    <t>orvosi alkalmassági</t>
  </si>
  <si>
    <t>066020 - Város-, és községgazdálkodási egyéb szolgáltatások</t>
  </si>
  <si>
    <t>Járművek, gépek</t>
  </si>
  <si>
    <t>KGFB,CASCO</t>
  </si>
  <si>
    <t>E-matrica</t>
  </si>
  <si>
    <t>CWS szőnyeg</t>
  </si>
  <si>
    <t>Veszélyes hull.száll.</t>
  </si>
  <si>
    <t>072112 - Háziorvosi ügyeleti  ellátás</t>
  </si>
  <si>
    <t>Inter-Ambulance Kft.</t>
  </si>
  <si>
    <t>072311 -Fogorvosi alapellátás</t>
  </si>
  <si>
    <t>Dr. Nagy Rezső alapi...</t>
  </si>
  <si>
    <t>Hénesné Varga Katalin alapilletmény</t>
  </si>
  <si>
    <t xml:space="preserve">Hénesné Varga Katalin </t>
  </si>
  <si>
    <t>Foglalk.egyéb szem.juttatása</t>
  </si>
  <si>
    <t>Dr. Nagy Rezső Ill.kieg..</t>
  </si>
  <si>
    <t>Kieg.SZOCHO</t>
  </si>
  <si>
    <t>Invitel Zrt</t>
  </si>
  <si>
    <t>Tűzoltókészülékek karbant.</t>
  </si>
  <si>
    <t>Futárposta-Lohner</t>
  </si>
  <si>
    <t>Veszélye hull.száll.-VARGA</t>
  </si>
  <si>
    <t>074031 - Család és nővédelmi egészségügyi gondozás</t>
  </si>
  <si>
    <t>Invitel Zrt.</t>
  </si>
  <si>
    <t>Tűzoltókészülék</t>
  </si>
  <si>
    <t>Veszélyes hulladék elszállítása</t>
  </si>
  <si>
    <t>Biztosítás</t>
  </si>
  <si>
    <t>074040 - Fertőző megbetegedések megelőzése, járványügyi ellátás</t>
  </si>
  <si>
    <t>Fertőtlenítőszer</t>
  </si>
  <si>
    <t>Kalásznet Kft.</t>
  </si>
  <si>
    <t>Postaköltség</t>
  </si>
  <si>
    <t>082091 - Közművelődési- közösségi és társadalmi részvétel fejlesztése</t>
  </si>
  <si>
    <t>Forróné Seres Zsuzsanna</t>
  </si>
  <si>
    <t>Schmid Hajnalka</t>
  </si>
  <si>
    <t>Fogl.egyéb szem.jutt.</t>
  </si>
  <si>
    <t>M.végzésre ir. Egyéb jogv.nem saját fogl.fiz.jutt.</t>
  </si>
  <si>
    <t>Nyugalom Kft.</t>
  </si>
  <si>
    <t>Halmos György</t>
  </si>
  <si>
    <t>EFOP</t>
  </si>
  <si>
    <t xml:space="preserve">084031 - Civil szervezetek működési támogatása </t>
  </si>
  <si>
    <t>Egyéb civil szerv.műk.célú</t>
  </si>
  <si>
    <t>B.főkajári Falumúzeum</t>
  </si>
  <si>
    <t>Íjász Sportegyesület</t>
  </si>
  <si>
    <t>Bakony és Bal.Kel.Kapuja</t>
  </si>
  <si>
    <t>Klímabarát Tel. Szöv.</t>
  </si>
  <si>
    <t>084040 - Egyházak közösségi és hitéleti tevékenységének támogatása</t>
  </si>
  <si>
    <t>Egyéb műk.célú támogat.</t>
  </si>
  <si>
    <t>Általános Iskola fennt.hj.</t>
  </si>
  <si>
    <t>107060 - Egyéb szociális pénzbeli és természetbeni ellátások, támogatások</t>
  </si>
  <si>
    <t>K548315</t>
  </si>
  <si>
    <t>Egyéb, az önk.rend.meghat.</t>
  </si>
  <si>
    <t>K548316</t>
  </si>
  <si>
    <t>K548317</t>
  </si>
  <si>
    <t>Telep.tám.Sztv.45.§.</t>
  </si>
  <si>
    <t>átm./havi</t>
  </si>
  <si>
    <t>K548319</t>
  </si>
  <si>
    <t>Önk.saját hatáskörben</t>
  </si>
  <si>
    <t>iskolakezdési támog.</t>
  </si>
  <si>
    <t>karácsonyi csomag</t>
  </si>
  <si>
    <t>szoc.tűzifa</t>
  </si>
  <si>
    <t>B98*</t>
  </si>
  <si>
    <t>B94*</t>
  </si>
  <si>
    <t>011130 Önkormányzatok és önk. Hivatalok jogalkotó és ált. ig. tevékenysége</t>
  </si>
  <si>
    <t>Házasságköt.díj</t>
  </si>
  <si>
    <t>B1*</t>
  </si>
  <si>
    <t>Előző évi ktv.maradvány igénybev.</t>
  </si>
  <si>
    <t>Központi, irányítószervi támogatás</t>
  </si>
  <si>
    <t>B8*</t>
  </si>
  <si>
    <t>B*</t>
  </si>
  <si>
    <t>011130 - Önkormányzatok és önk. hivatalok jogalkotó és ált. igazgatási tev.</t>
  </si>
  <si>
    <t>Tel.ÁH-on kívül</t>
  </si>
  <si>
    <t>Egyéb kamat és kamatjell.bev</t>
  </si>
  <si>
    <t>013320 - Köztemető fenntartás és működtetés</t>
  </si>
  <si>
    <t>sírhely megváltás</t>
  </si>
  <si>
    <t>013350 - Az önkormányzati vagyonnal való gazd.kapcs. feladatok</t>
  </si>
  <si>
    <t>Terembérlet</t>
  </si>
  <si>
    <t>Lakbér</t>
  </si>
  <si>
    <t>Szabó Tamás</t>
  </si>
  <si>
    <t>Kovács Lajosné</t>
  </si>
  <si>
    <t>Baranyai Sándor</t>
  </si>
  <si>
    <t>Földhaszonbér</t>
  </si>
  <si>
    <t>Horváth Imre</t>
  </si>
  <si>
    <t>Józsa</t>
  </si>
  <si>
    <t>Petőfi u.21.</t>
  </si>
  <si>
    <t>Kossuth u. 10/1</t>
  </si>
  <si>
    <t>018010 - Önkormányzatok elszámolásai a központi költségvetéssel</t>
  </si>
  <si>
    <t>Helyi önk. Műk.tám.</t>
  </si>
  <si>
    <t>Önk.hivatal műk. Támogatása</t>
  </si>
  <si>
    <t>Zöldterületgazd.támogatása</t>
  </si>
  <si>
    <t>Közvilágítás támogatása</t>
  </si>
  <si>
    <t>Köztemető támogatása</t>
  </si>
  <si>
    <t>Közutak támogatása</t>
  </si>
  <si>
    <t>Egyéb önk.feladatok támogatása</t>
  </si>
  <si>
    <t>Lakott külterülettel kapcs. Felad.</t>
  </si>
  <si>
    <t>Tel.önk.köznev.fel.tam.</t>
  </si>
  <si>
    <t>Bértámogatás</t>
  </si>
  <si>
    <t>Működési támogatás</t>
  </si>
  <si>
    <t>Tel.önk.egy szoc.és gyerm.jól.</t>
  </si>
  <si>
    <t>Önk.szoc.felad.egyéb támogatása</t>
  </si>
  <si>
    <t>Szoc.étkeztetés</t>
  </si>
  <si>
    <t>Bölcsőde, mini bölcsőde támog.</t>
  </si>
  <si>
    <t>Önk.Kultúrális fel.tám.</t>
  </si>
  <si>
    <t>Műk.célú ktv.és kieg.tám.</t>
  </si>
  <si>
    <t>Műk.célú visszatér.tám.</t>
  </si>
  <si>
    <t>Egy.műk.célú tám.ÁH.belül</t>
  </si>
  <si>
    <t>B91*</t>
  </si>
  <si>
    <t>Felh.célú önk.tám.</t>
  </si>
  <si>
    <t>Egyéb fel.célú tám.ÁH-belül</t>
  </si>
  <si>
    <t>B92*</t>
  </si>
  <si>
    <t>900020 Önkormányzati funkcióra nem sorolható bevétel  ÁH-on kívülről</t>
  </si>
  <si>
    <t>Vagyoni típusú adók</t>
  </si>
  <si>
    <t>építményadó</t>
  </si>
  <si>
    <t>magánszem.kom.</t>
  </si>
  <si>
    <t>Értékesítési és forgalmi adó</t>
  </si>
  <si>
    <t>áll.jelleggel végzett IPÜ</t>
  </si>
  <si>
    <t>Egyéb áruh. És szolg. Adó</t>
  </si>
  <si>
    <t>tartózkodás után fiz.IFA</t>
  </si>
  <si>
    <t>bérfőzési szeszadó</t>
  </si>
  <si>
    <t>Egyéb közgatalmi bevételek</t>
  </si>
  <si>
    <t>bírság</t>
  </si>
  <si>
    <t>talajterh.díj</t>
  </si>
  <si>
    <t>B93*</t>
  </si>
  <si>
    <t>052020 - Szennyvíz gyűjtése, tisztítása, elhelyezése</t>
  </si>
  <si>
    <t>DRV.koncessziós díj</t>
  </si>
  <si>
    <t>Felh.célú visszatér.tám ÁH kívül</t>
  </si>
  <si>
    <t>Érdekeltségi hj.</t>
  </si>
  <si>
    <t>B97*</t>
  </si>
  <si>
    <t>Fajlagos támogatás</t>
  </si>
  <si>
    <t>Ft/fő</t>
  </si>
  <si>
    <t>Elismert hivatali létszám</t>
  </si>
  <si>
    <t>fő</t>
  </si>
  <si>
    <t>EBR42 által leközölt támogatás:</t>
  </si>
  <si>
    <t>Balatonakarattya</t>
  </si>
  <si>
    <t>SZAL</t>
  </si>
  <si>
    <t>Számított alaplétszám</t>
  </si>
  <si>
    <t>ÖL</t>
  </si>
  <si>
    <t>Önkormányzatok lakosságszáma</t>
  </si>
  <si>
    <t>a</t>
  </si>
  <si>
    <t>Lakosságszám alsó határa</t>
  </si>
  <si>
    <t>b</t>
  </si>
  <si>
    <t>Lakosságszám felső határa</t>
  </si>
  <si>
    <t>c</t>
  </si>
  <si>
    <t>Köztisztviselői létszám minimuma</t>
  </si>
  <si>
    <t>d</t>
  </si>
  <si>
    <t>Köztisztviselői létszám maximuma</t>
  </si>
  <si>
    <t>=</t>
  </si>
  <si>
    <t>c+(ÖL-a)/(b-a)*(d-c)</t>
  </si>
  <si>
    <t>EHL</t>
  </si>
  <si>
    <t>Ka</t>
  </si>
  <si>
    <t>Korrekciós tényező a közös hivatalt fenntartó önkormányzatok száma és lakosságszáma alapján</t>
  </si>
  <si>
    <t>Kb</t>
  </si>
  <si>
    <t>4 vagy több nemzetiségi önkormányzat</t>
  </si>
  <si>
    <t>Kc</t>
  </si>
  <si>
    <t>a közös hivatal székhelye járási székhely önkormányzat</t>
  </si>
  <si>
    <t>Korrekció</t>
  </si>
  <si>
    <t>SZAL * (1+Ka+Kb+Kc)</t>
  </si>
  <si>
    <t>Fő</t>
  </si>
  <si>
    <t>KÖH elismert létszám</t>
  </si>
  <si>
    <t>Lakosságszámarányos elosztás:</t>
  </si>
  <si>
    <t>Jegyző bére +járulékai:</t>
  </si>
  <si>
    <t>Jegyző bére lakosságszámarányosan:</t>
  </si>
  <si>
    <t>Lakosságszámarányos elosztás jegyző bérével korrigálva:</t>
  </si>
  <si>
    <t>Balatonfőkajári Közös Önkormányzati Hivatal 2021. évi költségetési tervezete</t>
  </si>
  <si>
    <t xml:space="preserve">Munkaadókat terhelő járulékok és szociális hozzájárulási adó </t>
  </si>
  <si>
    <t>Bérleti- és lízingdíjak</t>
  </si>
  <si>
    <t>Szakmai tev. segítő szolg.</t>
  </si>
  <si>
    <t>Vásárolt termékek és szolg Áfa-ja</t>
  </si>
  <si>
    <t>Kis értékű tárgyi eszközök, immateriális javak beszerzése</t>
  </si>
  <si>
    <t>Felhalmozási kiadások</t>
  </si>
  <si>
    <t xml:space="preserve">Költségvetési kiadások  mindösszesen </t>
  </si>
  <si>
    <t>Állami támogatás</t>
  </si>
  <si>
    <t>Szolg.bevétele</t>
  </si>
  <si>
    <t>KÖH-nek fizetendő összeg</t>
  </si>
  <si>
    <t>BALATONFŐKAJÁR</t>
  </si>
  <si>
    <t>Polgár Beatrix</t>
  </si>
  <si>
    <t>Polgár Beatrix-szemüveg</t>
  </si>
  <si>
    <t>Szociális hozzájárulás</t>
  </si>
  <si>
    <t>Béren kívüli szoc.hj.</t>
  </si>
  <si>
    <t>Közig. Jogtár</t>
  </si>
  <si>
    <t>Költségvetési szabályzatok</t>
  </si>
  <si>
    <t>Esküvői dekoráció</t>
  </si>
  <si>
    <t>Invitech ICT-internet</t>
  </si>
  <si>
    <t>WEB Bizt.-rendszerkövetés</t>
  </si>
  <si>
    <t>WEB Bizt.-Adatvédelmi tisztv.</t>
  </si>
  <si>
    <t>Invitech ICT-telefon</t>
  </si>
  <si>
    <t>Lehner Kft.-térképmásolat</t>
  </si>
  <si>
    <t>OTP Bankköltség</t>
  </si>
  <si>
    <t>Közszolgálati Egyetem norm.hj.</t>
  </si>
  <si>
    <t>Kerekítések</t>
  </si>
  <si>
    <t>Petró Médea-szemüveg</t>
  </si>
  <si>
    <t>ABACUS Kft.-WinSzoc.</t>
  </si>
  <si>
    <t>KÜNGÖS</t>
  </si>
  <si>
    <t>Nagyné Vígh Ildikó</t>
  </si>
  <si>
    <t>ALBA-KONTAKT</t>
  </si>
  <si>
    <t>BALATONAKARATTYA</t>
  </si>
  <si>
    <t>Zsapka Beáta-szemüveg</t>
  </si>
  <si>
    <t>CSAJÁG</t>
  </si>
  <si>
    <t>Jegyző SZOCHO</t>
  </si>
  <si>
    <t>Jegyző cafetéria  SZOCHO</t>
  </si>
  <si>
    <t>SZOCHO összesen</t>
  </si>
  <si>
    <t>Jutalom SZOCHO</t>
  </si>
  <si>
    <t>BEVÉTELEK</t>
  </si>
  <si>
    <t>Jubileumi jutalon</t>
  </si>
  <si>
    <t>Jutalom</t>
  </si>
  <si>
    <t>Jubileumi  jutalom után</t>
  </si>
  <si>
    <t>Bérek után</t>
  </si>
  <si>
    <t>082091 Közművelődési- közösségi és társadalmi részvétel fejlesztése</t>
  </si>
  <si>
    <t>Megbízási díjak után</t>
  </si>
  <si>
    <t>Külső szem.jutt.után</t>
  </si>
  <si>
    <t>Nem saját foglalkoztatott</t>
  </si>
  <si>
    <t>Előző évi pénzmaradvány igénybe vétele</t>
  </si>
  <si>
    <t>B81*</t>
  </si>
  <si>
    <t>Bér+járulék</t>
  </si>
  <si>
    <t>Dologi+egyéb</t>
  </si>
  <si>
    <t>Össz.szem.jut.</t>
  </si>
  <si>
    <t>Fetőző megbet.megelőlegezése, járványügyi ellátás</t>
  </si>
  <si>
    <t>Finanszírozási bevételek</t>
  </si>
  <si>
    <t>Fizetendő ÁFA</t>
  </si>
  <si>
    <t>BALATONFŐKAJÁRI KÖZÖS ÖNKORMÁNYZATI HIVATAL</t>
  </si>
  <si>
    <t>ÖSSZESÍTŐ</t>
  </si>
  <si>
    <t>Szociális hozzájárulás-15,5%</t>
  </si>
  <si>
    <t>Kiküldetés kiadásai</t>
  </si>
  <si>
    <t>Tv.szerinti alapilletmény</t>
  </si>
  <si>
    <t>Egyéb kommunikációs szolgáltatás</t>
  </si>
  <si>
    <t>Reklám és propaganda</t>
  </si>
  <si>
    <t>TOP</t>
  </si>
  <si>
    <t>Menedzser Praxis</t>
  </si>
  <si>
    <t>Egyéb tárgyi eszköz felújítása</t>
  </si>
  <si>
    <t>Adósságot keletkeztető ügyletekből és kezességvállalásokból fennálló kötelezettségek 2022.</t>
  </si>
  <si>
    <t>Adósságot keletkeztető ügyletekből és kezességvállalásokból fennálló kötelezettségek 2021.</t>
  </si>
  <si>
    <t>Adósségot keletkeztető ügyletekből és kezességvállalásokból fennálló kötelezettségek  2023.</t>
  </si>
  <si>
    <t>Adósságot keletkeztető ügyletekből és kezességvállalásokból fennálló kötelezettségek 2024.</t>
  </si>
  <si>
    <t>Saját bevételek 2023.</t>
  </si>
  <si>
    <t>Saját bevételek 2024.</t>
  </si>
  <si>
    <t>Dózsa Gy. 80/5--telek</t>
  </si>
  <si>
    <t>Árpád u.74/2/V.-telek</t>
  </si>
  <si>
    <t>Baranyai Laura</t>
  </si>
  <si>
    <t>ÁH-onbelüli megel.visszaf.</t>
  </si>
  <si>
    <t>A helyi önk. Előző évi elsz.származó kiadások</t>
  </si>
  <si>
    <t>Egyéb elvonások befizetések</t>
  </si>
  <si>
    <t>ÁH-on belüli megelőlegezés visszefizetése</t>
  </si>
  <si>
    <t>ÁH-on belüli megelőlegezés teljesülése</t>
  </si>
  <si>
    <t>Előző évi költségvetési maradvány igénybevétele</t>
  </si>
  <si>
    <t>2021.évi támogatás</t>
  </si>
  <si>
    <t>Egyéb beszerzések</t>
  </si>
  <si>
    <t>072311 Fogorvosi alapellátá</t>
  </si>
  <si>
    <t>TB pü. Alapjaitól műk.célú tám</t>
  </si>
  <si>
    <t>Fogászat bértámogatás</t>
  </si>
  <si>
    <t>Fogászat dologi jellegű támogatás</t>
  </si>
  <si>
    <t>074031 Család és nővédelmi egészségügyi gondozás</t>
  </si>
  <si>
    <t>TB. Pü-i alapjaotól műk.célú tám-</t>
  </si>
  <si>
    <t>082091 Közművelődés közösségi és társadalmi részvétel fejlesztése</t>
  </si>
  <si>
    <t>Fejezeti kez.ei. EU-s programokra</t>
  </si>
  <si>
    <t>temetési segély</t>
  </si>
  <si>
    <t>késedelmi pótlék</t>
  </si>
  <si>
    <t>Közfoglalkoztatás támogatása</t>
  </si>
  <si>
    <t>Előző évi pm.igénybevétele</t>
  </si>
  <si>
    <t>PM igénybevétele</t>
  </si>
  <si>
    <t>Műk.cálú támogatás elkül.</t>
  </si>
  <si>
    <t>Tisztítsuk meg az országot</t>
  </si>
  <si>
    <t>Nem veszélyes települési hulladék elszállítása</t>
  </si>
  <si>
    <t xml:space="preserve">    ab) szolgáltatások bevételei</t>
  </si>
  <si>
    <t xml:space="preserve">    ac) központi irányítószervi támogatás</t>
  </si>
  <si>
    <t xml:space="preserve">    ad) társönkormányzatok működési támogatása</t>
  </si>
  <si>
    <t>Jegyző cafetéria  SZJA</t>
  </si>
  <si>
    <t>Kisértékű tárgyi eszköz beszerzése</t>
  </si>
  <si>
    <t>Ber.célú előz.felsz.ÁFA</t>
  </si>
  <si>
    <t>K6*</t>
  </si>
  <si>
    <t>Ber. Célú előz. felsz. ÁFA</t>
  </si>
  <si>
    <t>Egyéb tárgyi eszköz beszerzés</t>
  </si>
  <si>
    <t>Beruh.célú előz.felsz.ÁFA</t>
  </si>
  <si>
    <t>Egyéb működési célú tám.ÁH-on belül</t>
  </si>
  <si>
    <t>Műk. célú visszatér.tám.ÁH-on kívül</t>
  </si>
  <si>
    <t>Egyéb működési célú tám.ÁH-on kívül</t>
  </si>
  <si>
    <t>Tartalékok előirányzata</t>
  </si>
  <si>
    <t>Egyéb tárgyi eszközök beszerzése</t>
  </si>
  <si>
    <t>Beruh.célú előz.felsz. ÁFA</t>
  </si>
  <si>
    <t>Felúj.célú előz.felsz.ÁFA</t>
  </si>
  <si>
    <t>Kp-i irányító szervi támogatás</t>
  </si>
  <si>
    <t>Kiadás összesen</t>
  </si>
  <si>
    <t>K54*</t>
  </si>
  <si>
    <t>K56*</t>
  </si>
  <si>
    <t>ell.</t>
  </si>
  <si>
    <t>A Balatonfőkajári Közös Onkormányzati Hivatal elismert létszámának és támogatásának kalkulációja 2021.</t>
  </si>
  <si>
    <t>Egyéb bevétel</t>
  </si>
  <si>
    <t>Elkülönített állami pénzalaptól műk.c.tám.</t>
  </si>
  <si>
    <t>közfoglalk.tám.</t>
  </si>
  <si>
    <t>Felhalmozási célú önk.támogatás</t>
  </si>
  <si>
    <t>Egyéb dologi kiadás</t>
  </si>
  <si>
    <t>Hénesné kamarai tagdíj</t>
  </si>
  <si>
    <t>Igazné Brutyó Marianna kamarai tagdíj</t>
  </si>
  <si>
    <t>Jutalom után</t>
  </si>
  <si>
    <t>tartalék</t>
  </si>
  <si>
    <t>Ellenőrző szám (kiadás-bevétel)</t>
  </si>
  <si>
    <t>Computer S Kft.</t>
  </si>
  <si>
    <t>Vági Gyula</t>
  </si>
  <si>
    <t>Munkaruha-Közt.</t>
  </si>
  <si>
    <t>Közter.fel.egyéb felsz</t>
  </si>
  <si>
    <t>Személyi jellegű</t>
  </si>
  <si>
    <t>Dologi és egyéb</t>
  </si>
  <si>
    <t>melléklet a 4/2021.(III.08.) önkormányzati rendelethez</t>
  </si>
  <si>
    <t>Emelkedés 2021-hez képest</t>
  </si>
  <si>
    <t>Paukovits-Panda Zsuzsanna</t>
  </si>
  <si>
    <t>Paukivts-Panda Zsuzsanna</t>
  </si>
  <si>
    <t>Egyéb üzem.anyag</t>
  </si>
  <si>
    <t>e-Közig</t>
  </si>
  <si>
    <t>Magyar Posta fiókbérlet</t>
  </si>
  <si>
    <t>Berki Attiláné</t>
  </si>
  <si>
    <t>e-közig</t>
  </si>
  <si>
    <t>e közig</t>
  </si>
  <si>
    <t>DE-NÉ Bt.</t>
  </si>
  <si>
    <t>Lechner térképmás.</t>
  </si>
  <si>
    <t>Vági Ggyula</t>
  </si>
  <si>
    <t>Menedzse Praxis</t>
  </si>
  <si>
    <t>Szakály Ferencné</t>
  </si>
  <si>
    <t>2021.tény</t>
  </si>
  <si>
    <t>2022.terv</t>
  </si>
  <si>
    <t>2021. tény</t>
  </si>
  <si>
    <t>2022. terv</t>
  </si>
  <si>
    <t>2021. évetillető meg nem fizetett hj.</t>
  </si>
  <si>
    <t>Munkáltatót terhelő járrulékok</t>
  </si>
  <si>
    <t>PM.12. havi jutalom</t>
  </si>
  <si>
    <t>SZOCHO PM 12.h.jut.</t>
  </si>
  <si>
    <t>PannaKO-weboldalkész.</t>
  </si>
  <si>
    <t>PannaKO-tárhely.</t>
  </si>
  <si>
    <t>PannaKO-karbantartás</t>
  </si>
  <si>
    <t>Egyéb karbantartás</t>
  </si>
  <si>
    <t>2022.évi támogatás</t>
  </si>
  <si>
    <t>Csajág átadott</t>
  </si>
  <si>
    <t>Küngös átadott</t>
  </si>
  <si>
    <t>Balatonakarattya átadott</t>
  </si>
  <si>
    <t>Közös Hivatal-normatíva</t>
  </si>
  <si>
    <t>Knoll Tamás</t>
  </si>
  <si>
    <t>Szociális hozzájárulás 13%</t>
  </si>
  <si>
    <t>Béke u. útfelújítás</t>
  </si>
  <si>
    <t>Béke u. vízelvezető felújítás</t>
  </si>
  <si>
    <t>Felújítási célú ÁFA</t>
  </si>
  <si>
    <t>K7*</t>
  </si>
  <si>
    <t>Cofog összesen</t>
  </si>
  <si>
    <t>2022 évi támogatás</t>
  </si>
  <si>
    <t>2021.</t>
  </si>
  <si>
    <t>Normatíva</t>
  </si>
  <si>
    <t>2021. január 1-i létszámadatok és arányok</t>
  </si>
  <si>
    <t>2022. évet illető hj.</t>
  </si>
  <si>
    <t>12.munkabér 15,5%</t>
  </si>
  <si>
    <t>12.h.jutalom15,5%</t>
  </si>
  <si>
    <t>2022.mbér 13%</t>
  </si>
  <si>
    <t>SZOCHO PM-12.mbér</t>
  </si>
  <si>
    <t>Kossuth 10./1</t>
  </si>
  <si>
    <t>Kossuth 10/2.</t>
  </si>
  <si>
    <t>Kossuth 10/1.</t>
  </si>
  <si>
    <t>Bérlakás- Kossuth 10/2.</t>
  </si>
  <si>
    <t>Kossuth u.10/2.</t>
  </si>
  <si>
    <t>Ingatlan értékesítése</t>
  </si>
  <si>
    <t>B54*</t>
  </si>
  <si>
    <t>Cofofg összesen</t>
  </si>
  <si>
    <t>SZOCHO-12.havi 15,5%</t>
  </si>
  <si>
    <t>SZOCHO-13%</t>
  </si>
  <si>
    <t>PM bértámogatás</t>
  </si>
  <si>
    <t>062020 Településfejlesztési projekt és támogatásuk</t>
  </si>
  <si>
    <t>Hivatal felújítása</t>
  </si>
  <si>
    <t>SZOCHO 15,5%</t>
  </si>
  <si>
    <t>Szocho 13%</t>
  </si>
  <si>
    <t>Leader víz</t>
  </si>
  <si>
    <t>Leader áram</t>
  </si>
  <si>
    <t>Bérek után-15,5%</t>
  </si>
  <si>
    <t>Bérek után-13%</t>
  </si>
  <si>
    <t>Tűzoltőszertár</t>
  </si>
  <si>
    <t xml:space="preserve">Dr. Nagy Rezső </t>
  </si>
  <si>
    <t>SZOCHO-15,5%</t>
  </si>
  <si>
    <t>082042- Könyvtári álomány gyarapítása, nyilvántartása</t>
  </si>
  <si>
    <t>Műk.célú ÁFA</t>
  </si>
  <si>
    <t>2022. évi támogatás</t>
  </si>
  <si>
    <t xml:space="preserve">Óvoda </t>
  </si>
  <si>
    <t>107051-Szociális étkezés szociális konyhán</t>
  </si>
  <si>
    <t>082092- Közművelődés- hagyományos közösségi kulturális értékek gondozása</t>
  </si>
  <si>
    <t>Működési célú ÁFA</t>
  </si>
  <si>
    <t>Cofog összessen</t>
  </si>
  <si>
    <t>Vásásrolt élelmezés</t>
  </si>
  <si>
    <t>Működési c.ÁFA</t>
  </si>
  <si>
    <t>Ingatlan felújítása</t>
  </si>
  <si>
    <t>B95*</t>
  </si>
  <si>
    <t>ÖNKORMÁNYZAT összesen</t>
  </si>
  <si>
    <t>Bevétel</t>
  </si>
  <si>
    <t>Eltérés</t>
  </si>
  <si>
    <t>Polgármesteri ill.támogat..</t>
  </si>
  <si>
    <t>2022.ter</t>
  </si>
  <si>
    <t>Településfejlesztési projekt és támogatásuk</t>
  </si>
  <si>
    <t>Könyvtári állomány gyarapítása</t>
  </si>
  <si>
    <t>Közművelődési- közösségi és társ.részvétel fejlesztése</t>
  </si>
  <si>
    <t>Közművelődés- hagyományos köz.kult.értékek gondozása</t>
  </si>
  <si>
    <t>Gyermekek bölcsődében történő ellátása</t>
  </si>
  <si>
    <t>Szociális étkeztetés szociális konyhán</t>
  </si>
  <si>
    <t>ÖNK+KÖH</t>
  </si>
  <si>
    <t>Polgármester bértám.</t>
  </si>
  <si>
    <t>Az önkormányzat 2022.évi költségvetése</t>
  </si>
  <si>
    <t>Helyi önkormányzattól műk..célú támogatás</t>
  </si>
  <si>
    <t>Csajág-KÖH finanszírozás</t>
  </si>
  <si>
    <t>Küngös-KÖH finanszírozás</t>
  </si>
  <si>
    <t>Balatonakarattya-KÖH finanszírozás</t>
  </si>
  <si>
    <t>Helyi önk.tám-KÖH</t>
  </si>
  <si>
    <r>
      <t xml:space="preserve">fejezeti kezelésű előirányzatok </t>
    </r>
    <r>
      <rPr>
        <b/>
        <sz val="10"/>
        <rFont val="Bookman Old Style"/>
        <family val="1"/>
        <charset val="238"/>
      </rPr>
      <t xml:space="preserve">EU-s programokra </t>
    </r>
  </si>
  <si>
    <t xml:space="preserve">egyházi jogi személyektől </t>
  </si>
  <si>
    <t xml:space="preserve">helyi önkormányzatok és költségvetési szerveik részére </t>
  </si>
  <si>
    <t>nonprofit gazdasági társaságok</t>
  </si>
  <si>
    <t>Béke u.vízelvezető felújítása</t>
  </si>
  <si>
    <t>Béke u. vízelvezető felújítása</t>
  </si>
  <si>
    <t>Saját bevétlek 2022.</t>
  </si>
  <si>
    <t>Saját bevételek 2025.</t>
  </si>
  <si>
    <t>Mv.re irány.nem saját</t>
  </si>
  <si>
    <t>Közműv.pályázat</t>
  </si>
  <si>
    <t>Munkaadókat terhelő j.</t>
  </si>
  <si>
    <t>Mv.ra ir.nem saját fogl.</t>
  </si>
  <si>
    <t>Hóeltakarítás</t>
  </si>
  <si>
    <t>Informatikai eszk.besz</t>
  </si>
  <si>
    <t>Merevlemez+USB</t>
  </si>
  <si>
    <t>Beruh.célú ÁFA</t>
  </si>
  <si>
    <t>Csajág hj.</t>
  </si>
  <si>
    <t>Küngös hj.</t>
  </si>
  <si>
    <t>Balatonakarattya hj.</t>
  </si>
  <si>
    <t>Balatonfőkajár összesen</t>
  </si>
  <si>
    <t>Csajág összesen</t>
  </si>
  <si>
    <t>Küngös összesen</t>
  </si>
  <si>
    <t>Balatonakarattya összesen</t>
  </si>
  <si>
    <t>KÖH összesen</t>
  </si>
  <si>
    <t>TOP rend.szolg.</t>
  </si>
  <si>
    <t>Telek értékesítés</t>
  </si>
  <si>
    <t xml:space="preserve">K63 </t>
  </si>
  <si>
    <t>Informatikai eszk.besz.</t>
  </si>
  <si>
    <t>Elszámolásból származó bevétel</t>
  </si>
  <si>
    <t>Közművelődésszervező bértámogatás</t>
  </si>
  <si>
    <t>Hivatal felújítás</t>
  </si>
  <si>
    <t>Törvényi előíráson alapuló befizetések</t>
  </si>
  <si>
    <t>107051-Szociális étkeztetés szociális konyhán</t>
  </si>
  <si>
    <t xml:space="preserve"> Támogatási célú finanszírozási műveletek</t>
  </si>
  <si>
    <t>Paukovics-Panda Zsuzsanna</t>
  </si>
  <si>
    <t>Kiszámlázott ÁFA</t>
  </si>
  <si>
    <t>Telekértékesítés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</si>
</sst>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0\ _F_t_-;\-* #,##0.000\ _F_t_-;_-* &quot;-&quot;??\ _F_t_-;_-@_-"/>
    <numFmt numFmtId="167" formatCode="#,##0\ &quot;Ft&quot;"/>
    <numFmt numFmtId="168" formatCode="\ ##########"/>
    <numFmt numFmtId="169" formatCode="0__"/>
    <numFmt numFmtId="170" formatCode="#,##0_ ;\-#,##0\ "/>
    <numFmt numFmtId="171" formatCode="_-* #,##0\ &quot;Ft&quot;_-;\-* #,##0\ &quot;Ft&quot;_-;_-* &quot;-&quot;??\ &quot;Ft&quot;_-;_-@_-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i/>
      <sz val="10"/>
      <color indexed="40"/>
      <name val="Bookman Old Style"/>
      <family val="1"/>
      <charset val="238"/>
    </font>
    <font>
      <i/>
      <sz val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40" fillId="0" borderId="0"/>
    <xf numFmtId="0" fontId="17" fillId="0" borderId="0"/>
    <xf numFmtId="0" fontId="16" fillId="0" borderId="0"/>
    <xf numFmtId="0" fontId="65" fillId="0" borderId="0"/>
  </cellStyleXfs>
  <cellXfs count="800">
    <xf numFmtId="0" fontId="0" fillId="0" borderId="0" xfId="0"/>
    <xf numFmtId="0" fontId="20" fillId="0" borderId="0" xfId="3"/>
    <xf numFmtId="0" fontId="22" fillId="0" borderId="0" xfId="3" applyFont="1"/>
    <xf numFmtId="0" fontId="20" fillId="0" borderId="0" xfId="3" applyAlignment="1">
      <alignment horizontal="center"/>
    </xf>
    <xf numFmtId="165" fontId="20" fillId="0" borderId="0" xfId="3" applyNumberFormat="1"/>
    <xf numFmtId="165" fontId="20" fillId="0" borderId="0" xfId="3" applyNumberFormat="1" applyAlignment="1">
      <alignment horizontal="center"/>
    </xf>
    <xf numFmtId="165" fontId="20" fillId="0" borderId="0" xfId="3" applyNumberFormat="1" applyAlignment="1">
      <alignment horizontal="left"/>
    </xf>
    <xf numFmtId="3" fontId="20" fillId="0" borderId="0" xfId="3" applyNumberFormat="1"/>
    <xf numFmtId="3" fontId="20" fillId="0" borderId="1" xfId="3" applyNumberFormat="1" applyBorder="1"/>
    <xf numFmtId="3" fontId="22" fillId="0" borderId="0" xfId="3" applyNumberFormat="1" applyFont="1"/>
    <xf numFmtId="3" fontId="20" fillId="0" borderId="0" xfId="3" applyNumberFormat="1" applyAlignment="1">
      <alignment horizontal="center"/>
    </xf>
    <xf numFmtId="0" fontId="20" fillId="0" borderId="1" xfId="3" applyBorder="1"/>
    <xf numFmtId="9" fontId="20" fillId="0" borderId="0" xfId="3" applyNumberFormat="1"/>
    <xf numFmtId="165" fontId="20" fillId="0" borderId="1" xfId="3" applyNumberFormat="1" applyBorder="1"/>
    <xf numFmtId="2" fontId="22" fillId="0" borderId="0" xfId="3" applyNumberFormat="1" applyFont="1"/>
    <xf numFmtId="164" fontId="0" fillId="0" borderId="0" xfId="4" applyNumberFormat="1" applyFont="1"/>
    <xf numFmtId="166" fontId="0" fillId="0" borderId="0" xfId="4" applyNumberFormat="1" applyFont="1"/>
    <xf numFmtId="0" fontId="20" fillId="0" borderId="0" xfId="3" applyFont="1"/>
    <xf numFmtId="3" fontId="20" fillId="0" borderId="0" xfId="3" applyNumberFormat="1" applyFont="1"/>
    <xf numFmtId="0" fontId="19" fillId="0" borderId="0" xfId="5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2" fillId="0" borderId="0" xfId="5" applyFont="1"/>
    <xf numFmtId="0" fontId="19" fillId="0" borderId="0" xfId="5" applyAlignment="1">
      <alignment horizontal="center"/>
    </xf>
    <xf numFmtId="165" fontId="19" fillId="0" borderId="0" xfId="5" applyNumberFormat="1"/>
    <xf numFmtId="9" fontId="19" fillId="0" borderId="0" xfId="5" applyNumberFormat="1"/>
    <xf numFmtId="3" fontId="19" fillId="0" borderId="0" xfId="5" applyNumberFormat="1"/>
    <xf numFmtId="3" fontId="22" fillId="0" borderId="0" xfId="5" applyNumberFormat="1" applyFont="1"/>
    <xf numFmtId="0" fontId="19" fillId="0" borderId="1" xfId="5" applyBorder="1"/>
    <xf numFmtId="165" fontId="19" fillId="0" borderId="1" xfId="5" applyNumberFormat="1" applyBorder="1"/>
    <xf numFmtId="3" fontId="19" fillId="0" borderId="1" xfId="5" applyNumberFormat="1" applyBorder="1"/>
    <xf numFmtId="0" fontId="26" fillId="0" borderId="0" xfId="5" applyFont="1" applyAlignment="1">
      <alignment horizontal="center"/>
    </xf>
    <xf numFmtId="0" fontId="26" fillId="0" borderId="0" xfId="5" applyFont="1"/>
    <xf numFmtId="0" fontId="27" fillId="0" borderId="0" xfId="5" applyFont="1"/>
    <xf numFmtId="3" fontId="27" fillId="0" borderId="0" xfId="5" applyNumberFormat="1" applyFont="1" applyAlignment="1">
      <alignment horizontal="right" vertical="center"/>
    </xf>
    <xf numFmtId="3" fontId="26" fillId="0" borderId="0" xfId="5" applyNumberFormat="1" applyFont="1" applyAlignment="1">
      <alignment horizontal="right" vertical="center"/>
    </xf>
    <xf numFmtId="0" fontId="28" fillId="0" borderId="0" xfId="5" applyFont="1" applyAlignment="1">
      <alignment horizontal="left" indent="1"/>
    </xf>
    <xf numFmtId="0" fontId="28" fillId="0" borderId="0" xfId="5" applyFont="1"/>
    <xf numFmtId="0" fontId="27" fillId="0" borderId="2" xfId="5" applyFont="1" applyBorder="1"/>
    <xf numFmtId="3" fontId="27" fillId="0" borderId="2" xfId="5" applyNumberFormat="1" applyFont="1" applyBorder="1" applyAlignment="1">
      <alignment horizontal="right" vertical="center"/>
    </xf>
    <xf numFmtId="3" fontId="27" fillId="0" borderId="2" xfId="5" applyNumberFormat="1" applyFont="1" applyBorder="1"/>
    <xf numFmtId="3" fontId="19" fillId="0" borderId="2" xfId="5" applyNumberFormat="1" applyBorder="1"/>
    <xf numFmtId="3" fontId="26" fillId="0" borderId="0" xfId="5" applyNumberFormat="1" applyFont="1"/>
    <xf numFmtId="0" fontId="28" fillId="0" borderId="0" xfId="5" applyFont="1" applyAlignment="1">
      <alignment horizontal="right"/>
    </xf>
    <xf numFmtId="0" fontId="26" fillId="0" borderId="2" xfId="5" applyFont="1" applyBorder="1"/>
    <xf numFmtId="3" fontId="26" fillId="0" borderId="2" xfId="5" applyNumberFormat="1" applyFont="1" applyBorder="1" applyAlignment="1">
      <alignment horizontal="right" vertical="center"/>
    </xf>
    <xf numFmtId="3" fontId="26" fillId="0" borderId="2" xfId="5" applyNumberFormat="1" applyFont="1" applyBorder="1"/>
    <xf numFmtId="3" fontId="27" fillId="0" borderId="0" xfId="5" applyNumberFormat="1" applyFont="1"/>
    <xf numFmtId="0" fontId="31" fillId="0" borderId="0" xfId="5" applyFont="1" applyAlignment="1">
      <alignment horizontal="center"/>
    </xf>
    <xf numFmtId="3" fontId="31" fillId="0" borderId="0" xfId="5" applyNumberFormat="1" applyFont="1" applyAlignment="1">
      <alignment horizontal="center"/>
    </xf>
    <xf numFmtId="0" fontId="32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0" fontId="25" fillId="0" borderId="0" xfId="5" applyFont="1" applyAlignment="1">
      <alignment horizontal="right"/>
    </xf>
    <xf numFmtId="0" fontId="33" fillId="2" borderId="2" xfId="5" applyFont="1" applyFill="1" applyBorder="1" applyAlignment="1">
      <alignment horizontal="center" vertical="center" wrapText="1"/>
    </xf>
    <xf numFmtId="0" fontId="26" fillId="0" borderId="2" xfId="5" applyFont="1" applyBorder="1" applyAlignment="1">
      <alignment horizontal="left"/>
    </xf>
    <xf numFmtId="3" fontId="26" fillId="0" borderId="2" xfId="5" applyNumberFormat="1" applyFont="1" applyBorder="1" applyAlignment="1">
      <alignment horizontal="right"/>
    </xf>
    <xf numFmtId="0" fontId="28" fillId="0" borderId="2" xfId="5" applyFont="1" applyBorder="1"/>
    <xf numFmtId="0" fontId="29" fillId="0" borderId="0" xfId="5" applyFont="1"/>
    <xf numFmtId="3" fontId="29" fillId="0" borderId="0" xfId="5" applyNumberFormat="1" applyFont="1"/>
    <xf numFmtId="3" fontId="27" fillId="3" borderId="2" xfId="5" applyNumberFormat="1" applyFont="1" applyFill="1" applyBorder="1"/>
    <xf numFmtId="3" fontId="27" fillId="0" borderId="2" xfId="5" applyNumberFormat="1" applyFont="1" applyBorder="1" applyAlignment="1">
      <alignment horizontal="right"/>
    </xf>
    <xf numFmtId="3" fontId="28" fillId="0" borderId="2" xfId="5" applyNumberFormat="1" applyFont="1" applyBorder="1" applyAlignment="1">
      <alignment horizontal="right"/>
    </xf>
    <xf numFmtId="0" fontId="33" fillId="0" borderId="0" xfId="5" applyFont="1"/>
    <xf numFmtId="3" fontId="33" fillId="0" borderId="0" xfId="5" applyNumberFormat="1" applyFont="1"/>
    <xf numFmtId="0" fontId="32" fillId="0" borderId="0" xfId="5" applyFont="1"/>
    <xf numFmtId="0" fontId="19" fillId="0" borderId="0" xfId="5"/>
    <xf numFmtId="0" fontId="41" fillId="0" borderId="2" xfId="5" applyFont="1" applyBorder="1" applyAlignment="1">
      <alignment horizontal="justify"/>
    </xf>
    <xf numFmtId="167" fontId="41" fillId="0" borderId="2" xfId="5" applyNumberFormat="1" applyFont="1" applyBorder="1" applyAlignment="1">
      <alignment horizontal="right"/>
    </xf>
    <xf numFmtId="0" fontId="42" fillId="0" borderId="0" xfId="5" applyFont="1"/>
    <xf numFmtId="0" fontId="42" fillId="0" borderId="2" xfId="5" applyFont="1" applyBorder="1" applyAlignment="1">
      <alignment horizontal="justify"/>
    </xf>
    <xf numFmtId="167" fontId="42" fillId="0" borderId="2" xfId="5" applyNumberFormat="1" applyFont="1" applyBorder="1" applyAlignment="1">
      <alignment horizontal="right"/>
    </xf>
    <xf numFmtId="0" fontId="42" fillId="0" borderId="0" xfId="5" applyFont="1" applyAlignment="1">
      <alignment horizontal="justify"/>
    </xf>
    <xf numFmtId="167" fontId="42" fillId="0" borderId="0" xfId="5" applyNumberFormat="1" applyFont="1"/>
    <xf numFmtId="167" fontId="42" fillId="0" borderId="2" xfId="5" applyNumberFormat="1" applyFont="1" applyBorder="1"/>
    <xf numFmtId="0" fontId="18" fillId="0" borderId="0" xfId="3" applyFont="1"/>
    <xf numFmtId="0" fontId="19" fillId="0" borderId="0" xfId="5"/>
    <xf numFmtId="0" fontId="17" fillId="0" borderId="0" xfId="7" applyAlignment="1">
      <alignment horizontal="right"/>
    </xf>
    <xf numFmtId="0" fontId="17" fillId="0" borderId="0" xfId="7"/>
    <xf numFmtId="0" fontId="45" fillId="0" borderId="0" xfId="7" applyFont="1"/>
    <xf numFmtId="0" fontId="46" fillId="0" borderId="0" xfId="7" applyFont="1"/>
    <xf numFmtId="0" fontId="47" fillId="0" borderId="2" xfId="7" applyFont="1" applyBorder="1" applyAlignment="1">
      <alignment horizontal="center" vertical="center"/>
    </xf>
    <xf numFmtId="0" fontId="47" fillId="0" borderId="2" xfId="7" applyFont="1" applyBorder="1" applyAlignment="1">
      <alignment horizontal="center" vertical="center" wrapText="1"/>
    </xf>
    <xf numFmtId="0" fontId="48" fillId="0" borderId="2" xfId="7" applyFont="1" applyBorder="1" applyAlignment="1">
      <alignment horizontal="center" wrapText="1"/>
    </xf>
    <xf numFmtId="0" fontId="48" fillId="0" borderId="2" xfId="7" applyFont="1" applyBorder="1" applyAlignment="1">
      <alignment vertical="center"/>
    </xf>
    <xf numFmtId="3" fontId="17" fillId="0" borderId="2" xfId="7" applyNumberFormat="1" applyBorder="1"/>
    <xf numFmtId="0" fontId="49" fillId="0" borderId="2" xfId="7" applyFont="1" applyBorder="1"/>
    <xf numFmtId="3" fontId="22" fillId="0" borderId="2" xfId="7" applyNumberFormat="1" applyFont="1" applyBorder="1"/>
    <xf numFmtId="168" fontId="48" fillId="0" borderId="2" xfId="7" applyNumberFormat="1" applyFont="1" applyBorder="1" applyAlignment="1">
      <alignment vertical="center"/>
    </xf>
    <xf numFmtId="3" fontId="17" fillId="0" borderId="0" xfId="7" applyNumberFormat="1"/>
    <xf numFmtId="0" fontId="48" fillId="0" borderId="2" xfId="7" applyFont="1" applyBorder="1" applyAlignment="1">
      <alignment vertical="center" wrapText="1"/>
    </xf>
    <xf numFmtId="0" fontId="48" fillId="0" borderId="2" xfId="7" applyFont="1" applyBorder="1" applyAlignment="1">
      <alignment horizontal="left" vertical="center" wrapText="1"/>
    </xf>
    <xf numFmtId="0" fontId="47" fillId="0" borderId="2" xfId="7" applyFont="1" applyBorder="1" applyAlignment="1">
      <alignment vertical="center" wrapText="1"/>
    </xf>
    <xf numFmtId="168" fontId="47" fillId="0" borderId="2" xfId="7" applyNumberFormat="1" applyFont="1" applyBorder="1" applyAlignment="1">
      <alignment vertical="center"/>
    </xf>
    <xf numFmtId="0" fontId="48" fillId="0" borderId="2" xfId="7" applyFont="1" applyBorder="1" applyAlignment="1">
      <alignment horizontal="left" vertical="center"/>
    </xf>
    <xf numFmtId="0" fontId="47" fillId="0" borderId="2" xfId="7" applyFont="1" applyBorder="1" applyAlignment="1">
      <alignment horizontal="left" vertical="center" wrapText="1"/>
    </xf>
    <xf numFmtId="0" fontId="46" fillId="0" borderId="2" xfId="7" applyFont="1" applyBorder="1" applyAlignment="1">
      <alignment vertical="center" wrapText="1"/>
    </xf>
    <xf numFmtId="168" fontId="46" fillId="0" borderId="2" xfId="7" applyNumberFormat="1" applyFont="1" applyBorder="1" applyAlignment="1">
      <alignment vertical="center"/>
    </xf>
    <xf numFmtId="0" fontId="46" fillId="0" borderId="2" xfId="7" applyFont="1" applyBorder="1" applyAlignment="1">
      <alignment horizontal="left" vertical="center" wrapText="1"/>
    </xf>
    <xf numFmtId="0" fontId="48" fillId="3" borderId="2" xfId="7" applyFont="1" applyFill="1" applyBorder="1" applyAlignment="1">
      <alignment horizontal="left" vertical="center" wrapText="1"/>
    </xf>
    <xf numFmtId="0" fontId="50" fillId="0" borderId="2" xfId="7" applyFont="1" applyBorder="1" applyAlignment="1">
      <alignment horizontal="left" vertical="center" wrapText="1"/>
    </xf>
    <xf numFmtId="0" fontId="50" fillId="3" borderId="2" xfId="7" applyFont="1" applyFill="1" applyBorder="1" applyAlignment="1">
      <alignment horizontal="left" vertical="center" wrapText="1"/>
    </xf>
    <xf numFmtId="0" fontId="51" fillId="0" borderId="2" xfId="7" applyFont="1" applyBorder="1" applyAlignment="1">
      <alignment horizontal="left" vertical="center" wrapText="1"/>
    </xf>
    <xf numFmtId="0" fontId="50" fillId="0" borderId="2" xfId="7" applyFont="1" applyBorder="1" applyAlignment="1">
      <alignment vertical="center" wrapText="1"/>
    </xf>
    <xf numFmtId="0" fontId="50" fillId="0" borderId="2" xfId="7" applyFont="1" applyBorder="1" applyAlignment="1">
      <alignment vertical="center"/>
    </xf>
    <xf numFmtId="0" fontId="52" fillId="5" borderId="2" xfId="7" applyFont="1" applyFill="1" applyBorder="1"/>
    <xf numFmtId="169" fontId="48" fillId="0" borderId="2" xfId="7" applyNumberFormat="1" applyFont="1" applyBorder="1" applyAlignment="1">
      <alignment horizontal="left" vertical="center"/>
    </xf>
    <xf numFmtId="0" fontId="46" fillId="0" borderId="2" xfId="7" applyFont="1" applyBorder="1" applyAlignment="1">
      <alignment horizontal="left" vertical="center"/>
    </xf>
    <xf numFmtId="0" fontId="53" fillId="6" borderId="2" xfId="7" applyFont="1" applyFill="1" applyBorder="1" applyAlignment="1">
      <alignment horizontal="left" vertical="center"/>
    </xf>
    <xf numFmtId="168" fontId="53" fillId="6" borderId="2" xfId="7" applyNumberFormat="1" applyFont="1" applyFill="1" applyBorder="1" applyAlignment="1">
      <alignment vertical="center"/>
    </xf>
    <xf numFmtId="0" fontId="38" fillId="0" borderId="0" xfId="7" applyFont="1" applyAlignment="1">
      <alignment horizontal="left" vertical="center" wrapText="1"/>
    </xf>
    <xf numFmtId="0" fontId="54" fillId="0" borderId="2" xfId="7" applyFont="1" applyBorder="1" applyAlignment="1">
      <alignment horizontal="left" vertical="center" wrapText="1"/>
    </xf>
    <xf numFmtId="0" fontId="37" fillId="0" borderId="0" xfId="7" applyFont="1" applyAlignment="1">
      <alignment horizontal="left" vertical="center" wrapText="1"/>
    </xf>
    <xf numFmtId="0" fontId="50" fillId="0" borderId="2" xfId="7" applyFont="1" applyBorder="1" applyAlignment="1">
      <alignment horizontal="left" vertical="center"/>
    </xf>
    <xf numFmtId="0" fontId="38" fillId="0" borderId="0" xfId="7" applyFont="1" applyAlignment="1">
      <alignment horizontal="left" vertical="center"/>
    </xf>
    <xf numFmtId="0" fontId="54" fillId="0" borderId="2" xfId="7" applyFont="1" applyBorder="1" applyAlignment="1">
      <alignment horizontal="left" vertical="center"/>
    </xf>
    <xf numFmtId="0" fontId="37" fillId="0" borderId="0" xfId="7" applyFont="1" applyAlignment="1">
      <alignment horizontal="left" vertical="center"/>
    </xf>
    <xf numFmtId="0" fontId="51" fillId="0" borderId="2" xfId="7" applyFont="1" applyBorder="1" applyAlignment="1">
      <alignment horizontal="left" vertical="center"/>
    </xf>
    <xf numFmtId="0" fontId="55" fillId="6" borderId="2" xfId="7" applyFont="1" applyFill="1" applyBorder="1" applyAlignment="1">
      <alignment horizontal="left" vertical="center"/>
    </xf>
    <xf numFmtId="0" fontId="53" fillId="6" borderId="2" xfId="7" applyFont="1" applyFill="1" applyBorder="1" applyAlignment="1">
      <alignment horizontal="left" vertical="center" wrapText="1"/>
    </xf>
    <xf numFmtId="0" fontId="53" fillId="7" borderId="2" xfId="7" applyFont="1" applyFill="1" applyBorder="1"/>
    <xf numFmtId="0" fontId="56" fillId="7" borderId="2" xfId="7" applyFont="1" applyFill="1" applyBorder="1"/>
    <xf numFmtId="0" fontId="57" fillId="0" borderId="0" xfId="7" applyFont="1"/>
    <xf numFmtId="0" fontId="17" fillId="0" borderId="2" xfId="7" applyBorder="1"/>
    <xf numFmtId="0" fontId="47" fillId="0" borderId="2" xfId="7" applyFont="1" applyBorder="1" applyAlignment="1">
      <alignment horizontal="left" vertical="center"/>
    </xf>
    <xf numFmtId="0" fontId="22" fillId="0" borderId="2" xfId="7" applyFont="1" applyBorder="1"/>
    <xf numFmtId="0" fontId="46" fillId="5" borderId="2" xfId="7" applyFont="1" applyFill="1" applyBorder="1" applyAlignment="1">
      <alignment horizontal="left" vertical="center"/>
    </xf>
    <xf numFmtId="0" fontId="55" fillId="6" borderId="2" xfId="7" applyFont="1" applyFill="1" applyBorder="1" applyAlignment="1">
      <alignment horizontal="left" vertical="center" wrapText="1"/>
    </xf>
    <xf numFmtId="0" fontId="53" fillId="2" borderId="2" xfId="7" applyFont="1" applyFill="1" applyBorder="1"/>
    <xf numFmtId="0" fontId="23" fillId="0" borderId="0" xfId="7" applyFont="1" applyAlignment="1">
      <alignment horizontal="right"/>
    </xf>
    <xf numFmtId="0" fontId="49" fillId="0" borderId="0" xfId="7" applyFont="1"/>
    <xf numFmtId="3" fontId="49" fillId="0" borderId="2" xfId="7" applyNumberFormat="1" applyFont="1" applyBorder="1"/>
    <xf numFmtId="0" fontId="46" fillId="0" borderId="2" xfId="7" applyFont="1" applyBorder="1"/>
    <xf numFmtId="3" fontId="46" fillId="0" borderId="2" xfId="7" applyNumberFormat="1" applyFont="1" applyBorder="1"/>
    <xf numFmtId="0" fontId="46" fillId="7" borderId="2" xfId="7" applyFont="1" applyFill="1" applyBorder="1"/>
    <xf numFmtId="3" fontId="46" fillId="7" borderId="2" xfId="7" applyNumberFormat="1" applyFont="1" applyFill="1" applyBorder="1"/>
    <xf numFmtId="0" fontId="16" fillId="0" borderId="0" xfId="8" applyAlignment="1">
      <alignment horizontal="right"/>
    </xf>
    <xf numFmtId="0" fontId="16" fillId="0" borderId="0" xfId="8"/>
    <xf numFmtId="0" fontId="45" fillId="0" borderId="0" xfId="8" applyFont="1" applyAlignment="1">
      <alignment horizontal="center" wrapText="1"/>
    </xf>
    <xf numFmtId="0" fontId="16" fillId="0" borderId="0" xfId="8" applyAlignment="1">
      <alignment horizontal="center" wrapText="1"/>
    </xf>
    <xf numFmtId="0" fontId="46" fillId="0" borderId="0" xfId="8" applyFont="1"/>
    <xf numFmtId="0" fontId="46" fillId="0" borderId="2" xfId="8" applyFont="1" applyBorder="1"/>
    <xf numFmtId="0" fontId="47" fillId="0" borderId="2" xfId="8" applyFont="1" applyBorder="1" applyAlignment="1">
      <alignment horizontal="center" vertical="center" wrapText="1"/>
    </xf>
    <xf numFmtId="0" fontId="46" fillId="0" borderId="2" xfId="8" applyFont="1" applyBorder="1" applyAlignment="1">
      <alignment horizontal="center"/>
    </xf>
    <xf numFmtId="0" fontId="50" fillId="0" borderId="2" xfId="8" applyFont="1" applyBorder="1" applyAlignment="1">
      <alignment horizontal="left" vertical="center" wrapText="1"/>
    </xf>
    <xf numFmtId="0" fontId="48" fillId="0" borderId="2" xfId="8" applyFont="1" applyBorder="1" applyAlignment="1">
      <alignment horizontal="left" vertical="center"/>
    </xf>
    <xf numFmtId="0" fontId="16" fillId="0" borderId="2" xfId="8" applyBorder="1"/>
    <xf numFmtId="0" fontId="47" fillId="0" borderId="2" xfId="8" applyFont="1" applyBorder="1" applyAlignment="1">
      <alignment horizontal="left" vertical="center" wrapText="1"/>
    </xf>
    <xf numFmtId="0" fontId="47" fillId="0" borderId="2" xfId="8" applyFont="1" applyBorder="1" applyAlignment="1">
      <alignment horizontal="left" vertical="center"/>
    </xf>
    <xf numFmtId="0" fontId="22" fillId="0" borderId="2" xfId="8" applyFont="1" applyBorder="1"/>
    <xf numFmtId="3" fontId="16" fillId="0" borderId="2" xfId="8" applyNumberFormat="1" applyBorder="1"/>
    <xf numFmtId="3" fontId="16" fillId="0" borderId="0" xfId="8" applyNumberFormat="1"/>
    <xf numFmtId="3" fontId="22" fillId="0" borderId="2" xfId="8" applyNumberFormat="1" applyFont="1" applyBorder="1"/>
    <xf numFmtId="0" fontId="48" fillId="0" borderId="2" xfId="8" applyFont="1" applyBorder="1" applyAlignment="1">
      <alignment horizontal="left" vertical="center" wrapText="1"/>
    </xf>
    <xf numFmtId="0" fontId="54" fillId="0" borderId="2" xfId="8" applyFont="1" applyBorder="1" applyAlignment="1">
      <alignment horizontal="left" vertical="center" wrapText="1"/>
    </xf>
    <xf numFmtId="3" fontId="16" fillId="0" borderId="2" xfId="8" applyNumberFormat="1" applyFill="1" applyBorder="1"/>
    <xf numFmtId="0" fontId="54" fillId="0" borderId="2" xfId="8" applyFont="1" applyBorder="1" applyAlignment="1">
      <alignment vertical="center" wrapText="1"/>
    </xf>
    <xf numFmtId="0" fontId="60" fillId="0" borderId="0" xfId="8" applyFont="1" applyAlignment="1">
      <alignment horizontal="center" vertical="center" wrapText="1"/>
    </xf>
    <xf numFmtId="0" fontId="61" fillId="0" borderId="0" xfId="8" applyFont="1" applyAlignment="1">
      <alignment horizontal="center" wrapText="1"/>
    </xf>
    <xf numFmtId="0" fontId="39" fillId="0" borderId="2" xfId="8" applyFont="1" applyBorder="1"/>
    <xf numFmtId="0" fontId="50" fillId="0" borderId="2" xfId="8" applyFont="1" applyBorder="1" applyAlignment="1">
      <alignment horizontal="left" vertical="center"/>
    </xf>
    <xf numFmtId="0" fontId="54" fillId="0" borderId="2" xfId="8" applyFont="1" applyBorder="1" applyAlignment="1">
      <alignment horizontal="left" vertical="center"/>
    </xf>
    <xf numFmtId="0" fontId="50" fillId="0" borderId="2" xfId="8" applyFont="1" applyBorder="1" applyAlignment="1">
      <alignment vertical="center" wrapText="1"/>
    </xf>
    <xf numFmtId="0" fontId="54" fillId="3" borderId="2" xfId="8" applyFont="1" applyFill="1" applyBorder="1" applyAlignment="1">
      <alignment horizontal="left" vertical="center" wrapText="1"/>
    </xf>
    <xf numFmtId="0" fontId="50" fillId="3" borderId="2" xfId="8" applyFont="1" applyFill="1" applyBorder="1" applyAlignment="1">
      <alignment horizontal="left" vertical="center" wrapText="1"/>
    </xf>
    <xf numFmtId="0" fontId="55" fillId="8" borderId="2" xfId="8" applyFont="1" applyFill="1" applyBorder="1" applyAlignment="1">
      <alignment vertical="center" wrapText="1"/>
    </xf>
    <xf numFmtId="0" fontId="47" fillId="8" borderId="2" xfId="8" applyFont="1" applyFill="1" applyBorder="1" applyAlignment="1">
      <alignment horizontal="left" vertical="center"/>
    </xf>
    <xf numFmtId="0" fontId="48" fillId="0" borderId="2" xfId="8" applyFont="1" applyBorder="1" applyAlignment="1">
      <alignment wrapText="1"/>
    </xf>
    <xf numFmtId="0" fontId="47" fillId="0" borderId="2" xfId="8" applyFont="1" applyBorder="1" applyAlignment="1">
      <alignment horizontal="center" vertical="center"/>
    </xf>
    <xf numFmtId="0" fontId="45" fillId="0" borderId="0" xfId="8" applyFont="1"/>
    <xf numFmtId="0" fontId="48" fillId="0" borderId="2" xfId="8" applyFont="1" applyBorder="1" applyAlignment="1">
      <alignment horizontal="center" wrapText="1"/>
    </xf>
    <xf numFmtId="0" fontId="47" fillId="0" borderId="2" xfId="8" applyFont="1" applyBorder="1" applyAlignment="1">
      <alignment wrapText="1"/>
    </xf>
    <xf numFmtId="3" fontId="22" fillId="0" borderId="0" xfId="8" applyNumberFormat="1" applyFont="1"/>
    <xf numFmtId="0" fontId="55" fillId="8" borderId="2" xfId="8" applyFont="1" applyFill="1" applyBorder="1" applyAlignment="1">
      <alignment horizontal="left" vertical="center" wrapText="1"/>
    </xf>
    <xf numFmtId="3" fontId="22" fillId="4" borderId="2" xfId="8" applyNumberFormat="1" applyFont="1" applyFill="1" applyBorder="1"/>
    <xf numFmtId="0" fontId="22" fillId="0" borderId="0" xfId="8" applyFont="1"/>
    <xf numFmtId="0" fontId="49" fillId="0" borderId="0" xfId="8" applyFont="1"/>
    <xf numFmtId="0" fontId="62" fillId="0" borderId="2" xfId="8" applyFont="1" applyBorder="1" applyAlignment="1">
      <alignment horizontal="left" vertical="center" wrapText="1"/>
    </xf>
    <xf numFmtId="0" fontId="63" fillId="0" borderId="2" xfId="8" applyFont="1" applyBorder="1" applyAlignment="1">
      <alignment horizontal="left" vertical="center" wrapText="1"/>
    </xf>
    <xf numFmtId="0" fontId="51" fillId="0" borderId="2" xfId="8" applyFont="1" applyBorder="1"/>
    <xf numFmtId="0" fontId="54" fillId="0" borderId="2" xfId="8" applyFont="1" applyBorder="1" applyAlignment="1">
      <alignment horizontal="center" vertical="center" wrapText="1"/>
    </xf>
    <xf numFmtId="0" fontId="51" fillId="0" borderId="2" xfId="8" applyFont="1" applyBorder="1" applyAlignment="1">
      <alignment horizontal="center"/>
    </xf>
    <xf numFmtId="3" fontId="27" fillId="0" borderId="2" xfId="8" applyNumberFormat="1" applyFont="1" applyBorder="1"/>
    <xf numFmtId="3" fontId="27" fillId="0" borderId="2" xfId="8" applyNumberFormat="1" applyFont="1" applyBorder="1" applyAlignment="1">
      <alignment horizontal="right"/>
    </xf>
    <xf numFmtId="3" fontId="26" fillId="0" borderId="2" xfId="8" applyNumberFormat="1" applyFont="1" applyBorder="1"/>
    <xf numFmtId="0" fontId="27" fillId="0" borderId="2" xfId="8" applyFont="1" applyBorder="1"/>
    <xf numFmtId="0" fontId="22" fillId="0" borderId="0" xfId="8" applyFont="1" applyAlignment="1">
      <alignment horizontal="center"/>
    </xf>
    <xf numFmtId="0" fontId="54" fillId="0" borderId="2" xfId="9" applyFont="1" applyBorder="1" applyAlignment="1">
      <alignment horizontal="left" vertical="center" wrapText="1"/>
    </xf>
    <xf numFmtId="0" fontId="50" fillId="0" borderId="2" xfId="9" applyFont="1" applyBorder="1" applyAlignment="1">
      <alignment horizontal="center" vertical="center" wrapText="1"/>
    </xf>
    <xf numFmtId="0" fontId="47" fillId="0" borderId="2" xfId="8" applyFont="1" applyBorder="1" applyAlignment="1">
      <alignment horizontal="center" wrapText="1"/>
    </xf>
    <xf numFmtId="0" fontId="50" fillId="0" borderId="2" xfId="9" applyFont="1" applyBorder="1" applyAlignment="1">
      <alignment horizontal="left" vertical="center" wrapText="1"/>
    </xf>
    <xf numFmtId="0" fontId="50" fillId="0" borderId="2" xfId="8" applyFont="1" applyBorder="1" applyAlignment="1">
      <alignment horizontal="right" vertical="center" wrapText="1"/>
    </xf>
    <xf numFmtId="0" fontId="54" fillId="0" borderId="2" xfId="8" applyFont="1" applyBorder="1" applyAlignment="1">
      <alignment horizontal="right" vertical="center" wrapText="1"/>
    </xf>
    <xf numFmtId="0" fontId="46" fillId="0" borderId="2" xfId="8" applyFont="1" applyBorder="1" applyAlignment="1">
      <alignment horizontal="right" vertical="center" wrapText="1"/>
    </xf>
    <xf numFmtId="0" fontId="50" fillId="0" borderId="2" xfId="8" applyFont="1" applyBorder="1" applyAlignment="1">
      <alignment horizontal="center" vertical="center" wrapText="1"/>
    </xf>
    <xf numFmtId="0" fontId="66" fillId="0" borderId="2" xfId="8" applyFont="1" applyBorder="1" applyAlignment="1">
      <alignment horizontal="left" vertical="center"/>
    </xf>
    <xf numFmtId="0" fontId="67" fillId="0" borderId="0" xfId="8" applyFont="1" applyAlignment="1">
      <alignment horizontal="justify"/>
    </xf>
    <xf numFmtId="0" fontId="69" fillId="0" borderId="0" xfId="8" applyFont="1" applyAlignment="1">
      <alignment horizontal="justify"/>
    </xf>
    <xf numFmtId="0" fontId="68" fillId="0" borderId="0" xfId="8" applyFont="1" applyAlignment="1">
      <alignment horizontal="justify"/>
    </xf>
    <xf numFmtId="0" fontId="70" fillId="0" borderId="0" xfId="8" applyFont="1"/>
    <xf numFmtId="0" fontId="50" fillId="0" borderId="2" xfId="8" applyFont="1" applyBorder="1" applyAlignment="1">
      <alignment vertical="center"/>
    </xf>
    <xf numFmtId="0" fontId="49" fillId="0" borderId="2" xfId="8" applyFont="1" applyBorder="1"/>
    <xf numFmtId="0" fontId="71" fillId="0" borderId="2" xfId="8" applyFont="1" applyBorder="1"/>
    <xf numFmtId="0" fontId="54" fillId="0" borderId="2" xfId="8" applyFont="1" applyBorder="1" applyAlignment="1">
      <alignment vertical="center"/>
    </xf>
    <xf numFmtId="0" fontId="72" fillId="0" borderId="2" xfId="8" applyFont="1" applyBorder="1" applyAlignment="1">
      <alignment horizontal="left" vertical="center" wrapText="1"/>
    </xf>
    <xf numFmtId="0" fontId="51" fillId="0" borderId="2" xfId="8" applyFont="1" applyBorder="1" applyAlignment="1">
      <alignment vertical="center"/>
    </xf>
    <xf numFmtId="0" fontId="46" fillId="0" borderId="2" xfId="8" applyFont="1" applyBorder="1" applyAlignment="1">
      <alignment horizontal="left" vertical="center" wrapText="1"/>
    </xf>
    <xf numFmtId="0" fontId="51" fillId="0" borderId="0" xfId="8" applyFont="1" applyAlignment="1">
      <alignment vertical="center"/>
    </xf>
    <xf numFmtId="0" fontId="46" fillId="0" borderId="0" xfId="8" applyFont="1" applyAlignment="1">
      <alignment horizontal="left" vertical="center" wrapText="1"/>
    </xf>
    <xf numFmtId="0" fontId="73" fillId="0" borderId="2" xfId="8" applyFont="1" applyBorder="1" applyAlignment="1">
      <alignment wrapText="1"/>
    </xf>
    <xf numFmtId="0" fontId="70" fillId="0" borderId="2" xfId="8" applyFont="1" applyBorder="1" applyAlignment="1">
      <alignment wrapText="1"/>
    </xf>
    <xf numFmtId="0" fontId="46" fillId="9" borderId="2" xfId="7" applyFont="1" applyFill="1" applyBorder="1" applyAlignment="1">
      <alignment horizontal="left" vertical="center"/>
    </xf>
    <xf numFmtId="3" fontId="22" fillId="9" borderId="2" xfId="7" applyNumberFormat="1" applyFont="1" applyFill="1" applyBorder="1"/>
    <xf numFmtId="0" fontId="17" fillId="9" borderId="2" xfId="7" applyFill="1" applyBorder="1"/>
    <xf numFmtId="0" fontId="55" fillId="10" borderId="2" xfId="7" applyFont="1" applyFill="1" applyBorder="1" applyAlignment="1">
      <alignment horizontal="left" vertical="center" wrapText="1"/>
    </xf>
    <xf numFmtId="0" fontId="53" fillId="10" borderId="2" xfId="7" applyFont="1" applyFill="1" applyBorder="1" applyAlignment="1">
      <alignment horizontal="left" vertical="center"/>
    </xf>
    <xf numFmtId="3" fontId="22" fillId="10" borderId="2" xfId="7" applyNumberFormat="1" applyFont="1" applyFill="1" applyBorder="1"/>
    <xf numFmtId="0" fontId="17" fillId="10" borderId="2" xfId="7" applyFill="1" applyBorder="1"/>
    <xf numFmtId="0" fontId="74" fillId="5" borderId="2" xfId="7" applyFont="1" applyFill="1" applyBorder="1"/>
    <xf numFmtId="0" fontId="53" fillId="11" borderId="2" xfId="7" applyFont="1" applyFill="1" applyBorder="1"/>
    <xf numFmtId="0" fontId="53" fillId="11" borderId="2" xfId="7" applyFont="1" applyFill="1" applyBorder="1" applyAlignment="1">
      <alignment horizontal="left" vertical="center"/>
    </xf>
    <xf numFmtId="3" fontId="17" fillId="11" borderId="2" xfId="7" applyNumberFormat="1" applyFill="1" applyBorder="1"/>
    <xf numFmtId="0" fontId="17" fillId="11" borderId="2" xfId="7" applyFill="1" applyBorder="1"/>
    <xf numFmtId="3" fontId="22" fillId="11" borderId="2" xfId="7" applyNumberFormat="1" applyFont="1" applyFill="1" applyBorder="1"/>
    <xf numFmtId="0" fontId="74" fillId="9" borderId="2" xfId="7" applyFont="1" applyFill="1" applyBorder="1"/>
    <xf numFmtId="0" fontId="55" fillId="12" borderId="2" xfId="7" applyFont="1" applyFill="1" applyBorder="1" applyAlignment="1">
      <alignment horizontal="left" vertical="center" wrapText="1"/>
    </xf>
    <xf numFmtId="0" fontId="53" fillId="12" borderId="2" xfId="7" applyFont="1" applyFill="1" applyBorder="1" applyAlignment="1">
      <alignment horizontal="left" vertical="center"/>
    </xf>
    <xf numFmtId="3" fontId="22" fillId="12" borderId="2" xfId="7" applyNumberFormat="1" applyFont="1" applyFill="1" applyBorder="1"/>
    <xf numFmtId="0" fontId="17" fillId="12" borderId="2" xfId="7" applyFill="1" applyBorder="1"/>
    <xf numFmtId="0" fontId="55" fillId="12" borderId="2" xfId="7" applyFont="1" applyFill="1" applyBorder="1" applyAlignment="1">
      <alignment horizontal="left" vertical="center"/>
    </xf>
    <xf numFmtId="0" fontId="53" fillId="12" borderId="2" xfId="7" applyFont="1" applyFill="1" applyBorder="1" applyAlignment="1">
      <alignment horizontal="left" vertical="center" wrapText="1"/>
    </xf>
    <xf numFmtId="0" fontId="53" fillId="13" borderId="2" xfId="7" applyFont="1" applyFill="1" applyBorder="1"/>
    <xf numFmtId="0" fontId="56" fillId="13" borderId="2" xfId="7" applyFont="1" applyFill="1" applyBorder="1"/>
    <xf numFmtId="3" fontId="22" fillId="13" borderId="2" xfId="7" applyNumberFormat="1" applyFont="1" applyFill="1" applyBorder="1"/>
    <xf numFmtId="0" fontId="17" fillId="13" borderId="2" xfId="7" applyFill="1" applyBorder="1"/>
    <xf numFmtId="0" fontId="54" fillId="0" borderId="2" xfId="7" applyFont="1" applyFill="1" applyBorder="1" applyAlignment="1">
      <alignment vertical="center"/>
    </xf>
    <xf numFmtId="168" fontId="47" fillId="0" borderId="2" xfId="7" applyNumberFormat="1" applyFont="1" applyFill="1" applyBorder="1" applyAlignment="1">
      <alignment vertical="center"/>
    </xf>
    <xf numFmtId="3" fontId="22" fillId="0" borderId="2" xfId="7" applyNumberFormat="1" applyFont="1" applyFill="1" applyBorder="1"/>
    <xf numFmtId="0" fontId="46" fillId="0" borderId="2" xfId="7" applyFont="1" applyFill="1" applyBorder="1"/>
    <xf numFmtId="0" fontId="15" fillId="0" borderId="0" xfId="3" applyFont="1"/>
    <xf numFmtId="0" fontId="77" fillId="0" borderId="7" xfId="0" applyFont="1" applyBorder="1" applyAlignment="1">
      <alignment horizontal="justify" vertical="center"/>
    </xf>
    <xf numFmtId="0" fontId="77" fillId="0" borderId="8" xfId="0" applyFont="1" applyBorder="1" applyAlignment="1">
      <alignment horizontal="justify" vertical="center"/>
    </xf>
    <xf numFmtId="3" fontId="78" fillId="0" borderId="6" xfId="0" applyNumberFormat="1" applyFont="1" applyBorder="1" applyAlignment="1">
      <alignment horizontal="right" vertical="center"/>
    </xf>
    <xf numFmtId="0" fontId="14" fillId="0" borderId="0" xfId="0" applyFont="1"/>
    <xf numFmtId="0" fontId="75" fillId="0" borderId="9" xfId="0" applyFont="1" applyBorder="1" applyAlignment="1">
      <alignment horizontal="justify" vertical="center"/>
    </xf>
    <xf numFmtId="3" fontId="76" fillId="0" borderId="10" xfId="0" applyNumberFormat="1" applyFont="1" applyBorder="1" applyAlignment="1">
      <alignment horizontal="right" vertical="center"/>
    </xf>
    <xf numFmtId="0" fontId="75" fillId="0" borderId="7" xfId="0" applyFont="1" applyBorder="1" applyAlignment="1">
      <alignment horizontal="justify" vertical="center"/>
    </xf>
    <xf numFmtId="0" fontId="13" fillId="0" borderId="1" xfId="3" applyFont="1" applyBorder="1"/>
    <xf numFmtId="0" fontId="13" fillId="0" borderId="0" xfId="3" applyFont="1"/>
    <xf numFmtId="0" fontId="12" fillId="0" borderId="0" xfId="3" applyFont="1"/>
    <xf numFmtId="10" fontId="20" fillId="0" borderId="0" xfId="3" applyNumberFormat="1"/>
    <xf numFmtId="0" fontId="18" fillId="0" borderId="0" xfId="5" applyNumberFormat="1" applyFont="1" applyAlignment="1">
      <alignment horizontal="center"/>
    </xf>
    <xf numFmtId="0" fontId="22" fillId="4" borderId="0" xfId="3" applyFont="1" applyFill="1"/>
    <xf numFmtId="3" fontId="20" fillId="12" borderId="9" xfId="3" applyNumberFormat="1" applyFill="1" applyBorder="1"/>
    <xf numFmtId="3" fontId="22" fillId="12" borderId="9" xfId="3" applyNumberFormat="1" applyFont="1" applyFill="1" applyBorder="1"/>
    <xf numFmtId="0" fontId="11" fillId="0" borderId="0" xfId="3" applyFont="1"/>
    <xf numFmtId="0" fontId="19" fillId="0" borderId="0" xfId="5"/>
    <xf numFmtId="0" fontId="19" fillId="0" borderId="0" xfId="5"/>
    <xf numFmtId="0" fontId="10" fillId="0" borderId="0" xfId="5" applyFont="1"/>
    <xf numFmtId="0" fontId="10" fillId="0" borderId="0" xfId="5" applyNumberFormat="1" applyFont="1"/>
    <xf numFmtId="3" fontId="10" fillId="0" borderId="0" xfId="5" applyNumberFormat="1" applyFont="1"/>
    <xf numFmtId="3" fontId="22" fillId="12" borderId="9" xfId="5" applyNumberFormat="1" applyFont="1" applyFill="1" applyBorder="1"/>
    <xf numFmtId="0" fontId="19" fillId="0" borderId="0" xfId="5"/>
    <xf numFmtId="0" fontId="9" fillId="0" borderId="0" xfId="5" applyFont="1"/>
    <xf numFmtId="0" fontId="22" fillId="14" borderId="0" xfId="5" applyFont="1" applyFill="1"/>
    <xf numFmtId="0" fontId="79" fillId="0" borderId="0" xfId="5" applyFont="1"/>
    <xf numFmtId="3" fontId="9" fillId="0" borderId="0" xfId="5" applyNumberFormat="1" applyFont="1"/>
    <xf numFmtId="3" fontId="22" fillId="14" borderId="0" xfId="5" applyNumberFormat="1" applyFont="1" applyFill="1" applyBorder="1"/>
    <xf numFmtId="9" fontId="9" fillId="0" borderId="0" xfId="5" applyNumberFormat="1" applyFont="1"/>
    <xf numFmtId="0" fontId="19" fillId="0" borderId="0" xfId="5"/>
    <xf numFmtId="3" fontId="79" fillId="0" borderId="2" xfId="5" applyNumberFormat="1" applyFont="1" applyBorder="1"/>
    <xf numFmtId="3" fontId="79" fillId="0" borderId="2" xfId="5" applyNumberFormat="1" applyFont="1" applyBorder="1" applyAlignment="1">
      <alignment horizontal="right" vertical="center"/>
    </xf>
    <xf numFmtId="3" fontId="80" fillId="0" borderId="0" xfId="5" applyNumberFormat="1" applyFont="1" applyAlignment="1">
      <alignment horizontal="right" vertical="center"/>
    </xf>
    <xf numFmtId="3" fontId="79" fillId="0" borderId="0" xfId="5" applyNumberFormat="1" applyFont="1" applyAlignment="1">
      <alignment horizontal="right" vertical="center"/>
    </xf>
    <xf numFmtId="0" fontId="27" fillId="0" borderId="0" xfId="5" applyFont="1" applyBorder="1"/>
    <xf numFmtId="0" fontId="19" fillId="0" borderId="0" xfId="5" applyBorder="1"/>
    <xf numFmtId="3" fontId="26" fillId="4" borderId="0" xfId="5" applyNumberFormat="1" applyFont="1" applyFill="1" applyBorder="1" applyAlignment="1">
      <alignment horizontal="right" vertical="center"/>
    </xf>
    <xf numFmtId="3" fontId="26" fillId="4" borderId="0" xfId="5" applyNumberFormat="1" applyFont="1" applyFill="1" applyAlignment="1">
      <alignment horizontal="right" vertical="center"/>
    </xf>
    <xf numFmtId="3" fontId="80" fillId="4" borderId="0" xfId="5" applyNumberFormat="1" applyFont="1" applyFill="1" applyAlignment="1">
      <alignment horizontal="right" vertical="center"/>
    </xf>
    <xf numFmtId="3" fontId="26" fillId="12" borderId="0" xfId="5" applyNumberFormat="1" applyFont="1" applyFill="1" applyAlignment="1">
      <alignment horizontal="right" vertical="center"/>
    </xf>
    <xf numFmtId="3" fontId="26" fillId="14" borderId="0" xfId="5" applyNumberFormat="1" applyFont="1" applyFill="1" applyAlignment="1">
      <alignment horizontal="right" vertical="center"/>
    </xf>
    <xf numFmtId="0" fontId="26" fillId="12" borderId="0" xfId="5" applyFont="1" applyFill="1"/>
    <xf numFmtId="0" fontId="27" fillId="12" borderId="0" xfId="5" applyFont="1" applyFill="1"/>
    <xf numFmtId="0" fontId="28" fillId="0" borderId="0" xfId="5" applyFont="1" applyAlignment="1">
      <alignment horizontal="center"/>
    </xf>
    <xf numFmtId="0" fontId="8" fillId="0" borderId="0" xfId="5" applyFont="1"/>
    <xf numFmtId="0" fontId="29" fillId="12" borderId="2" xfId="5" applyFont="1" applyFill="1" applyBorder="1"/>
    <xf numFmtId="3" fontId="80" fillId="12" borderId="2" xfId="5" applyNumberFormat="1" applyFont="1" applyFill="1" applyBorder="1" applyAlignment="1">
      <alignment horizontal="right" vertical="center"/>
    </xf>
    <xf numFmtId="0" fontId="8" fillId="12" borderId="0" xfId="5" applyFont="1" applyFill="1"/>
    <xf numFmtId="3" fontId="80" fillId="12" borderId="0" xfId="5" applyNumberFormat="1" applyFont="1" applyFill="1" applyAlignment="1">
      <alignment horizontal="right" vertical="center"/>
    </xf>
    <xf numFmtId="0" fontId="29" fillId="0" borderId="0" xfId="5" applyFont="1" applyAlignment="1">
      <alignment horizontal="left" indent="1"/>
    </xf>
    <xf numFmtId="3" fontId="26" fillId="4" borderId="0" xfId="5" applyNumberFormat="1" applyFont="1" applyFill="1"/>
    <xf numFmtId="0" fontId="29" fillId="12" borderId="0" xfId="5" applyFont="1" applyFill="1"/>
    <xf numFmtId="0" fontId="29" fillId="12" borderId="0" xfId="5" applyFont="1" applyFill="1" applyAlignment="1">
      <alignment horizontal="left" indent="1"/>
    </xf>
    <xf numFmtId="0" fontId="22" fillId="12" borderId="0" xfId="5" applyFont="1" applyFill="1"/>
    <xf numFmtId="0" fontId="19" fillId="0" borderId="0" xfId="5"/>
    <xf numFmtId="0" fontId="81" fillId="0" borderId="0" xfId="0" applyFont="1"/>
    <xf numFmtId="44" fontId="81" fillId="14" borderId="0" xfId="0" applyNumberFormat="1" applyFont="1" applyFill="1"/>
    <xf numFmtId="44" fontId="81" fillId="0" borderId="0" xfId="0" applyNumberFormat="1" applyFont="1"/>
    <xf numFmtId="0" fontId="82" fillId="0" borderId="0" xfId="0" applyFont="1"/>
    <xf numFmtId="44" fontId="82" fillId="0" borderId="0" xfId="0" applyNumberFormat="1" applyFont="1"/>
    <xf numFmtId="0" fontId="33" fillId="0" borderId="0" xfId="0" applyFont="1"/>
    <xf numFmtId="0" fontId="36" fillId="0" borderId="0" xfId="0" applyFont="1"/>
    <xf numFmtId="44" fontId="83" fillId="14" borderId="0" xfId="0" applyNumberFormat="1" applyFont="1" applyFill="1"/>
    <xf numFmtId="44" fontId="83" fillId="12" borderId="0" xfId="0" applyNumberFormat="1" applyFont="1" applyFill="1"/>
    <xf numFmtId="0" fontId="83" fillId="14" borderId="0" xfId="0" applyFont="1" applyFill="1" applyAlignment="1"/>
    <xf numFmtId="0" fontId="83" fillId="0" borderId="0" xfId="0" applyFont="1"/>
    <xf numFmtId="44" fontId="83" fillId="0" borderId="0" xfId="0" applyNumberFormat="1" applyFont="1"/>
    <xf numFmtId="0" fontId="83" fillId="4" borderId="0" xfId="0" applyFont="1" applyFill="1"/>
    <xf numFmtId="44" fontId="83" fillId="4" borderId="0" xfId="0" applyNumberFormat="1" applyFont="1" applyFill="1"/>
    <xf numFmtId="0" fontId="83" fillId="12" borderId="0" xfId="0" applyFont="1" applyFill="1"/>
    <xf numFmtId="44" fontId="83" fillId="14" borderId="0" xfId="0" applyNumberFormat="1" applyFont="1" applyFill="1" applyBorder="1"/>
    <xf numFmtId="0" fontId="36" fillId="14" borderId="0" xfId="0" applyFont="1" applyFill="1" applyAlignment="1"/>
    <xf numFmtId="0" fontId="83" fillId="14" borderId="0" xfId="0" applyFont="1" applyFill="1" applyBorder="1" applyAlignment="1"/>
    <xf numFmtId="0" fontId="81" fillId="14" borderId="0" xfId="0" applyFont="1" applyFill="1" applyBorder="1" applyAlignment="1"/>
    <xf numFmtId="0" fontId="22" fillId="0" borderId="0" xfId="0" applyFont="1"/>
    <xf numFmtId="0" fontId="0" fillId="14" borderId="0" xfId="0" applyFill="1"/>
    <xf numFmtId="0" fontId="0" fillId="14" borderId="0" xfId="0" applyFill="1" applyBorder="1"/>
    <xf numFmtId="1" fontId="84" fillId="0" borderId="0" xfId="3" applyNumberFormat="1" applyFont="1"/>
    <xf numFmtId="0" fontId="84" fillId="0" borderId="0" xfId="3" applyFont="1"/>
    <xf numFmtId="0" fontId="7" fillId="0" borderId="0" xfId="3" applyFont="1"/>
    <xf numFmtId="0" fontId="7" fillId="0" borderId="0" xfId="5" applyFont="1" applyAlignment="1">
      <alignment horizontal="center"/>
    </xf>
    <xf numFmtId="0" fontId="22" fillId="4" borderId="9" xfId="3" applyFont="1" applyFill="1" applyBorder="1"/>
    <xf numFmtId="0" fontId="20" fillId="4" borderId="9" xfId="3" applyFill="1" applyBorder="1" applyAlignment="1">
      <alignment horizontal="center"/>
    </xf>
    <xf numFmtId="0" fontId="7" fillId="4" borderId="9" xfId="3" applyFont="1" applyFill="1" applyBorder="1"/>
    <xf numFmtId="3" fontId="23" fillId="4" borderId="9" xfId="3" applyNumberFormat="1" applyFont="1" applyFill="1" applyBorder="1"/>
    <xf numFmtId="171" fontId="81" fillId="0" borderId="0" xfId="0" applyNumberFormat="1" applyFont="1"/>
    <xf numFmtId="171" fontId="33" fillId="0" borderId="0" xfId="0" applyNumberFormat="1" applyFont="1"/>
    <xf numFmtId="171" fontId="83" fillId="12" borderId="0" xfId="0" applyNumberFormat="1" applyFont="1" applyFill="1"/>
    <xf numFmtId="171" fontId="36" fillId="0" borderId="0" xfId="0" applyNumberFormat="1" applyFont="1"/>
    <xf numFmtId="171" fontId="83" fillId="0" borderId="0" xfId="0" applyNumberFormat="1" applyFont="1"/>
    <xf numFmtId="171" fontId="83" fillId="4" borderId="0" xfId="0" applyNumberFormat="1" applyFont="1" applyFill="1"/>
    <xf numFmtId="171" fontId="82" fillId="0" borderId="0" xfId="0" applyNumberFormat="1" applyFont="1"/>
    <xf numFmtId="0" fontId="84" fillId="0" borderId="0" xfId="5" applyFont="1"/>
    <xf numFmtId="0" fontId="7" fillId="0" borderId="0" xfId="5" applyFont="1"/>
    <xf numFmtId="3" fontId="27" fillId="0" borderId="1" xfId="5" applyNumberFormat="1" applyFont="1" applyBorder="1"/>
    <xf numFmtId="3" fontId="85" fillId="0" borderId="0" xfId="5" applyNumberFormat="1" applyFont="1"/>
    <xf numFmtId="0" fontId="22" fillId="14" borderId="0" xfId="5" applyFont="1" applyFill="1" applyBorder="1" applyAlignment="1">
      <alignment horizontal="center"/>
    </xf>
    <xf numFmtId="0" fontId="27" fillId="14" borderId="0" xfId="5" applyFont="1" applyFill="1"/>
    <xf numFmtId="0" fontId="22" fillId="4" borderId="9" xfId="5" applyFont="1" applyFill="1" applyBorder="1"/>
    <xf numFmtId="0" fontId="19" fillId="12" borderId="0" xfId="5" applyFill="1" applyAlignment="1">
      <alignment horizontal="center"/>
    </xf>
    <xf numFmtId="0" fontId="19" fillId="14" borderId="0" xfId="5" applyFill="1" applyAlignment="1">
      <alignment horizontal="center"/>
    </xf>
    <xf numFmtId="171" fontId="83" fillId="12" borderId="6" xfId="0" applyNumberFormat="1" applyFont="1" applyFill="1" applyBorder="1"/>
    <xf numFmtId="3" fontId="84" fillId="0" borderId="0" xfId="5" applyNumberFormat="1" applyFont="1"/>
    <xf numFmtId="1" fontId="84" fillId="0" borderId="0" xfId="5" applyNumberFormat="1" applyFont="1"/>
    <xf numFmtId="171" fontId="0" fillId="0" borderId="0" xfId="0" applyNumberFormat="1"/>
    <xf numFmtId="3" fontId="84" fillId="14" borderId="0" xfId="5" applyNumberFormat="1" applyFont="1" applyFill="1"/>
    <xf numFmtId="3" fontId="86" fillId="0" borderId="0" xfId="5" applyNumberFormat="1" applyFont="1"/>
    <xf numFmtId="3" fontId="19" fillId="14" borderId="0" xfId="5" applyNumberFormat="1" applyFill="1"/>
    <xf numFmtId="171" fontId="19" fillId="0" borderId="0" xfId="5" applyNumberFormat="1"/>
    <xf numFmtId="171" fontId="27" fillId="12" borderId="9" xfId="5" applyNumberFormat="1" applyFont="1" applyFill="1" applyBorder="1"/>
    <xf numFmtId="0" fontId="7" fillId="12" borderId="0" xfId="5" applyFont="1" applyFill="1"/>
    <xf numFmtId="171" fontId="19" fillId="12" borderId="0" xfId="5" applyNumberFormat="1" applyFill="1"/>
    <xf numFmtId="0" fontId="29" fillId="4" borderId="0" xfId="5" applyFont="1" applyFill="1"/>
    <xf numFmtId="3" fontId="29" fillId="4" borderId="0" xfId="5" applyNumberFormat="1" applyFont="1" applyFill="1"/>
    <xf numFmtId="3" fontId="29" fillId="12" borderId="0" xfId="5" applyNumberFormat="1" applyFont="1" applyFill="1"/>
    <xf numFmtId="0" fontId="29" fillId="13" borderId="2" xfId="5" applyFont="1" applyFill="1" applyBorder="1"/>
    <xf numFmtId="3" fontId="27" fillId="13" borderId="2" xfId="5" applyNumberFormat="1" applyFont="1" applyFill="1" applyBorder="1"/>
    <xf numFmtId="3" fontId="26" fillId="13" borderId="2" xfId="5" applyNumberFormat="1" applyFont="1" applyFill="1" applyBorder="1"/>
    <xf numFmtId="0" fontId="29" fillId="10" borderId="2" xfId="5" applyFont="1" applyFill="1" applyBorder="1"/>
    <xf numFmtId="3" fontId="26" fillId="10" borderId="2" xfId="5" applyNumberFormat="1" applyFont="1" applyFill="1" applyBorder="1"/>
    <xf numFmtId="3" fontId="79" fillId="0" borderId="2" xfId="7" applyNumberFormat="1" applyFont="1" applyBorder="1"/>
    <xf numFmtId="3" fontId="27" fillId="0" borderId="2" xfId="7" applyNumberFormat="1" applyFont="1" applyBorder="1"/>
    <xf numFmtId="3" fontId="6" fillId="0" borderId="2" xfId="7" applyNumberFormat="1" applyFont="1" applyBorder="1"/>
    <xf numFmtId="0" fontId="87" fillId="0" borderId="2" xfId="7" applyFont="1" applyBorder="1"/>
    <xf numFmtId="3" fontId="88" fillId="0" borderId="0" xfId="7" applyNumberFormat="1" applyFont="1"/>
    <xf numFmtId="0" fontId="29" fillId="12" borderId="0" xfId="5" applyFont="1" applyFill="1" applyBorder="1"/>
    <xf numFmtId="3" fontId="80" fillId="12" borderId="0" xfId="5" applyNumberFormat="1" applyFont="1" applyFill="1" applyBorder="1" applyAlignment="1">
      <alignment horizontal="right" vertical="center"/>
    </xf>
    <xf numFmtId="0" fontId="29" fillId="14" borderId="0" xfId="5" applyFont="1" applyFill="1" applyBorder="1"/>
    <xf numFmtId="3" fontId="80" fillId="14" borderId="0" xfId="5" applyNumberFormat="1" applyFont="1" applyFill="1" applyBorder="1" applyAlignment="1">
      <alignment horizontal="right" vertical="center"/>
    </xf>
    <xf numFmtId="3" fontId="26" fillId="12" borderId="9" xfId="5" applyNumberFormat="1" applyFont="1" applyFill="1" applyBorder="1"/>
    <xf numFmtId="3" fontId="17" fillId="9" borderId="0" xfId="7" applyNumberFormat="1" applyFill="1"/>
    <xf numFmtId="1" fontId="19" fillId="0" borderId="0" xfId="5" applyNumberFormat="1"/>
    <xf numFmtId="3" fontId="27" fillId="9" borderId="0" xfId="5" applyNumberFormat="1" applyFont="1" applyFill="1"/>
    <xf numFmtId="3" fontId="26" fillId="9" borderId="0" xfId="5" applyNumberFormat="1" applyFont="1" applyFill="1"/>
    <xf numFmtId="1" fontId="27" fillId="9" borderId="0" xfId="7" applyNumberFormat="1" applyFont="1" applyFill="1"/>
    <xf numFmtId="0" fontId="17" fillId="9" borderId="0" xfId="7" applyFill="1"/>
    <xf numFmtId="3" fontId="49" fillId="0" borderId="0" xfId="7" applyNumberFormat="1" applyFont="1"/>
    <xf numFmtId="3" fontId="5" fillId="0" borderId="2" xfId="5" applyNumberFormat="1" applyFont="1" applyBorder="1"/>
    <xf numFmtId="2" fontId="77" fillId="0" borderId="7" xfId="0" applyNumberFormat="1" applyFont="1" applyBorder="1" applyAlignment="1">
      <alignment horizontal="justify" vertical="center"/>
    </xf>
    <xf numFmtId="0" fontId="89" fillId="0" borderId="0" xfId="0" applyFont="1"/>
    <xf numFmtId="3" fontId="4" fillId="0" borderId="0" xfId="8" applyNumberFormat="1" applyFont="1"/>
    <xf numFmtId="3" fontId="16" fillId="14" borderId="0" xfId="8" applyNumberFormat="1" applyFill="1"/>
    <xf numFmtId="0" fontId="90" fillId="0" borderId="0" xfId="0" applyFont="1"/>
    <xf numFmtId="0" fontId="3" fillId="0" borderId="1" xfId="3" applyFont="1" applyBorder="1"/>
    <xf numFmtId="3" fontId="20" fillId="0" borderId="0" xfId="3" applyNumberFormat="1" applyBorder="1"/>
    <xf numFmtId="3" fontId="85" fillId="14" borderId="0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horizontal="right" vertical="center"/>
    </xf>
    <xf numFmtId="3" fontId="84" fillId="0" borderId="0" xfId="5" applyNumberFormat="1" applyFont="1" applyAlignment="1">
      <alignment horizontal="right" vertical="center"/>
    </xf>
    <xf numFmtId="0" fontId="29" fillId="0" borderId="18" xfId="5" applyFont="1" applyBorder="1"/>
    <xf numFmtId="3" fontId="27" fillId="0" borderId="19" xfId="5" applyNumberFormat="1" applyFont="1" applyBorder="1"/>
    <xf numFmtId="3" fontId="80" fillId="0" borderId="20" xfId="5" applyNumberFormat="1" applyFont="1" applyBorder="1"/>
    <xf numFmtId="0" fontId="33" fillId="4" borderId="18" xfId="5" applyFont="1" applyFill="1" applyBorder="1"/>
    <xf numFmtId="3" fontId="36" fillId="4" borderId="20" xfId="5" applyNumberFormat="1" applyFont="1" applyFill="1" applyBorder="1"/>
    <xf numFmtId="3" fontId="17" fillId="14" borderId="0" xfId="7" applyNumberFormat="1" applyFill="1"/>
    <xf numFmtId="0" fontId="91" fillId="0" borderId="0" xfId="0" applyFont="1"/>
    <xf numFmtId="0" fontId="93" fillId="0" borderId="0" xfId="1" applyFont="1"/>
    <xf numFmtId="3" fontId="93" fillId="0" borderId="0" xfId="1" applyNumberFormat="1" applyFont="1"/>
    <xf numFmtId="0" fontId="93" fillId="0" borderId="0" xfId="1" applyFont="1" applyAlignment="1">
      <alignment horizontal="center"/>
    </xf>
    <xf numFmtId="2" fontId="92" fillId="0" borderId="0" xfId="1" applyNumberFormat="1" applyFont="1"/>
    <xf numFmtId="3" fontId="92" fillId="0" borderId="0" xfId="1" applyNumberFormat="1" applyFont="1"/>
    <xf numFmtId="0" fontId="94" fillId="0" borderId="0" xfId="1" applyFont="1"/>
    <xf numFmtId="0" fontId="92" fillId="0" borderId="0" xfId="1" applyFont="1" applyAlignment="1">
      <alignment horizontal="center"/>
    </xf>
    <xf numFmtId="3" fontId="93" fillId="0" borderId="0" xfId="1" applyNumberFormat="1" applyFont="1" applyAlignment="1">
      <alignment horizontal="center"/>
    </xf>
    <xf numFmtId="10" fontId="93" fillId="4" borderId="0" xfId="1" applyNumberFormat="1" applyFont="1" applyFill="1" applyAlignment="1">
      <alignment horizontal="center"/>
    </xf>
    <xf numFmtId="9" fontId="93" fillId="0" borderId="0" xfId="1" applyNumberFormat="1" applyFont="1"/>
    <xf numFmtId="164" fontId="93" fillId="0" borderId="0" xfId="2" applyNumberFormat="1" applyFont="1"/>
    <xf numFmtId="170" fontId="93" fillId="0" borderId="0" xfId="2" applyNumberFormat="1" applyFont="1"/>
    <xf numFmtId="0" fontId="92" fillId="0" borderId="0" xfId="1" applyFont="1"/>
    <xf numFmtId="0" fontId="92" fillId="0" borderId="0" xfId="1" applyFont="1" applyAlignment="1">
      <alignment horizontal="center" vertical="center"/>
    </xf>
    <xf numFmtId="2" fontId="92" fillId="0" borderId="0" xfId="1" applyNumberFormat="1" applyFont="1" applyAlignment="1">
      <alignment horizontal="center"/>
    </xf>
    <xf numFmtId="0" fontId="92" fillId="0" borderId="0" xfId="1" applyFont="1" applyAlignment="1">
      <alignment horizontal="center" wrapText="1"/>
    </xf>
    <xf numFmtId="0" fontId="93" fillId="0" borderId="0" xfId="1" applyFont="1" applyAlignment="1">
      <alignment horizontal="right"/>
    </xf>
    <xf numFmtId="0" fontId="93" fillId="0" borderId="0" xfId="1" applyFont="1" applyAlignment="1">
      <alignment horizontal="center" wrapText="1"/>
    </xf>
    <xf numFmtId="3" fontId="93" fillId="0" borderId="0" xfId="1" applyNumberFormat="1" applyFont="1" applyAlignment="1">
      <alignment horizontal="right"/>
    </xf>
    <xf numFmtId="10" fontId="93" fillId="0" borderId="0" xfId="1" applyNumberFormat="1" applyFont="1" applyAlignment="1">
      <alignment horizontal="center"/>
    </xf>
    <xf numFmtId="9" fontId="93" fillId="0" borderId="0" xfId="1" applyNumberFormat="1" applyFont="1" applyAlignment="1">
      <alignment horizontal="center"/>
    </xf>
    <xf numFmtId="0" fontId="92" fillId="16" borderId="2" xfId="1" applyFont="1" applyFill="1" applyBorder="1"/>
    <xf numFmtId="0" fontId="92" fillId="16" borderId="2" xfId="1" applyFont="1" applyFill="1" applyBorder="1" applyAlignment="1">
      <alignment horizontal="center" wrapText="1"/>
    </xf>
    <xf numFmtId="0" fontId="92" fillId="16" borderId="2" xfId="1" applyFont="1" applyFill="1" applyBorder="1" applyAlignment="1">
      <alignment horizontal="center"/>
    </xf>
    <xf numFmtId="0" fontId="93" fillId="13" borderId="2" xfId="1" applyFont="1" applyFill="1" applyBorder="1"/>
    <xf numFmtId="0" fontId="92" fillId="13" borderId="2" xfId="1" applyFont="1" applyFill="1" applyBorder="1"/>
    <xf numFmtId="0" fontId="91" fillId="13" borderId="2" xfId="0" applyFont="1" applyFill="1" applyBorder="1"/>
    <xf numFmtId="3" fontId="93" fillId="16" borderId="2" xfId="1" applyNumberFormat="1" applyFont="1" applyFill="1" applyBorder="1" applyAlignment="1">
      <alignment horizontal="center"/>
    </xf>
    <xf numFmtId="3" fontId="92" fillId="16" borderId="2" xfId="1" applyNumberFormat="1" applyFont="1" applyFill="1" applyBorder="1"/>
    <xf numFmtId="1" fontId="93" fillId="13" borderId="2" xfId="1" applyNumberFormat="1" applyFont="1" applyFill="1" applyBorder="1"/>
    <xf numFmtId="1" fontId="91" fillId="13" borderId="2" xfId="0" applyNumberFormat="1" applyFont="1" applyFill="1" applyBorder="1"/>
    <xf numFmtId="3" fontId="93" fillId="16" borderId="2" xfId="1" applyNumberFormat="1" applyFont="1" applyFill="1" applyBorder="1" applyAlignment="1">
      <alignment horizontal="right"/>
    </xf>
    <xf numFmtId="0" fontId="93" fillId="16" borderId="2" xfId="1" applyFont="1" applyFill="1" applyBorder="1"/>
    <xf numFmtId="0" fontId="92" fillId="14" borderId="3" xfId="5" applyFont="1" applyFill="1" applyBorder="1" applyAlignment="1">
      <alignment horizontal="center" wrapText="1"/>
    </xf>
    <xf numFmtId="0" fontId="92" fillId="14" borderId="4" xfId="5" applyFont="1" applyFill="1" applyBorder="1" applyAlignment="1">
      <alignment horizontal="center" wrapText="1"/>
    </xf>
    <xf numFmtId="0" fontId="93" fillId="0" borderId="4" xfId="5" applyFont="1" applyBorder="1"/>
    <xf numFmtId="0" fontId="93" fillId="0" borderId="5" xfId="5" applyFont="1" applyBorder="1"/>
    <xf numFmtId="0" fontId="92" fillId="14" borderId="13" xfId="5" applyFont="1" applyFill="1" applyBorder="1" applyAlignment="1">
      <alignment horizontal="center" wrapText="1"/>
    </xf>
    <xf numFmtId="0" fontId="93" fillId="0" borderId="0" xfId="5" applyFont="1" applyAlignment="1">
      <alignment horizontal="center" wrapText="1"/>
    </xf>
    <xf numFmtId="0" fontId="95" fillId="14" borderId="2" xfId="5" applyFont="1" applyFill="1" applyBorder="1" applyAlignment="1">
      <alignment horizontal="center" vertical="center" wrapText="1"/>
    </xf>
    <xf numFmtId="0" fontId="96" fillId="14" borderId="2" xfId="5" applyFont="1" applyFill="1" applyBorder="1" applyAlignment="1">
      <alignment horizontal="center" vertical="center" wrapText="1"/>
    </xf>
    <xf numFmtId="0" fontId="96" fillId="14" borderId="3" xfId="5" applyFont="1" applyFill="1" applyBorder="1" applyAlignment="1">
      <alignment horizontal="center" vertical="center" wrapText="1"/>
    </xf>
    <xf numFmtId="0" fontId="95" fillId="14" borderId="14" xfId="5" applyFont="1" applyFill="1" applyBorder="1" applyAlignment="1">
      <alignment horizontal="center" vertical="center" wrapText="1"/>
    </xf>
    <xf numFmtId="0" fontId="96" fillId="14" borderId="14" xfId="5" applyFont="1" applyFill="1" applyBorder="1" applyAlignment="1">
      <alignment horizontal="center" vertical="center" wrapText="1"/>
    </xf>
    <xf numFmtId="0" fontId="95" fillId="0" borderId="2" xfId="5" applyFont="1" applyBorder="1" applyAlignment="1">
      <alignment horizontal="left" vertical="center" wrapText="1"/>
    </xf>
    <xf numFmtId="3" fontId="95" fillId="0" borderId="2" xfId="5" applyNumberFormat="1" applyFont="1" applyBorder="1" applyAlignment="1">
      <alignment horizontal="right" wrapText="1"/>
    </xf>
    <xf numFmtId="3" fontId="95" fillId="0" borderId="3" xfId="5" applyNumberFormat="1" applyFont="1" applyBorder="1" applyAlignment="1">
      <alignment horizontal="right" wrapText="1"/>
    </xf>
    <xf numFmtId="3" fontId="95" fillId="0" borderId="14" xfId="5" applyNumberFormat="1" applyFont="1" applyBorder="1" applyAlignment="1">
      <alignment horizontal="right" wrapText="1"/>
    </xf>
    <xf numFmtId="3" fontId="95" fillId="0" borderId="5" xfId="5" applyNumberFormat="1" applyFont="1" applyBorder="1" applyAlignment="1">
      <alignment horizontal="right" wrapText="1"/>
    </xf>
    <xf numFmtId="0" fontId="96" fillId="0" borderId="2" xfId="5" applyFont="1" applyBorder="1" applyAlignment="1">
      <alignment horizontal="left" vertical="center" wrapText="1"/>
    </xf>
    <xf numFmtId="3" fontId="96" fillId="0" borderId="2" xfId="5" applyNumberFormat="1" applyFont="1" applyBorder="1" applyAlignment="1">
      <alignment horizontal="right" wrapText="1"/>
    </xf>
    <xf numFmtId="3" fontId="96" fillId="0" borderId="3" xfId="5" applyNumberFormat="1" applyFont="1" applyBorder="1" applyAlignment="1">
      <alignment horizontal="right" wrapText="1"/>
    </xf>
    <xf numFmtId="3" fontId="96" fillId="0" borderId="14" xfId="5" applyNumberFormat="1" applyFont="1" applyBorder="1" applyAlignment="1">
      <alignment horizontal="right" wrapText="1"/>
    </xf>
    <xf numFmtId="3" fontId="96" fillId="0" borderId="5" xfId="5" applyNumberFormat="1" applyFont="1" applyBorder="1" applyAlignment="1">
      <alignment horizontal="right" wrapText="1"/>
    </xf>
    <xf numFmtId="0" fontId="93" fillId="0" borderId="2" xfId="5" applyFont="1" applyBorder="1"/>
    <xf numFmtId="3" fontId="93" fillId="0" borderId="2" xfId="5" applyNumberFormat="1" applyFont="1" applyBorder="1"/>
    <xf numFmtId="0" fontId="96" fillId="16" borderId="2" xfId="5" applyFont="1" applyFill="1" applyBorder="1" applyAlignment="1">
      <alignment horizontal="left" vertical="center" wrapText="1"/>
    </xf>
    <xf numFmtId="3" fontId="96" fillId="16" borderId="2" xfId="5" applyNumberFormat="1" applyFont="1" applyFill="1" applyBorder="1" applyAlignment="1">
      <alignment horizontal="right" wrapText="1"/>
    </xf>
    <xf numFmtId="3" fontId="96" fillId="16" borderId="3" xfId="5" applyNumberFormat="1" applyFont="1" applyFill="1" applyBorder="1" applyAlignment="1">
      <alignment horizontal="right" wrapText="1"/>
    </xf>
    <xf numFmtId="3" fontId="96" fillId="16" borderId="14" xfId="5" applyNumberFormat="1" applyFont="1" applyFill="1" applyBorder="1" applyAlignment="1">
      <alignment horizontal="right" wrapText="1"/>
    </xf>
    <xf numFmtId="3" fontId="96" fillId="16" borderId="5" xfId="5" applyNumberFormat="1" applyFont="1" applyFill="1" applyBorder="1" applyAlignment="1">
      <alignment horizontal="right" wrapText="1"/>
    </xf>
    <xf numFmtId="0" fontId="96" fillId="14" borderId="2" xfId="5" applyFont="1" applyFill="1" applyBorder="1" applyAlignment="1">
      <alignment horizontal="left" vertical="center" wrapText="1"/>
    </xf>
    <xf numFmtId="3" fontId="96" fillId="14" borderId="2" xfId="5" applyNumberFormat="1" applyFont="1" applyFill="1" applyBorder="1" applyAlignment="1">
      <alignment horizontal="right" wrapText="1"/>
    </xf>
    <xf numFmtId="3" fontId="96" fillId="14" borderId="3" xfId="5" applyNumberFormat="1" applyFont="1" applyFill="1" applyBorder="1" applyAlignment="1">
      <alignment horizontal="right" wrapText="1"/>
    </xf>
    <xf numFmtId="3" fontId="96" fillId="14" borderId="14" xfId="5" applyNumberFormat="1" applyFont="1" applyFill="1" applyBorder="1" applyAlignment="1">
      <alignment horizontal="right" wrapText="1"/>
    </xf>
    <xf numFmtId="3" fontId="96" fillId="14" borderId="5" xfId="5" applyNumberFormat="1" applyFont="1" applyFill="1" applyBorder="1" applyAlignment="1">
      <alignment horizontal="right" wrapText="1"/>
    </xf>
    <xf numFmtId="3" fontId="97" fillId="0" borderId="3" xfId="5" applyNumberFormat="1" applyFont="1" applyBorder="1" applyAlignment="1">
      <alignment horizontal="right" wrapText="1"/>
    </xf>
    <xf numFmtId="3" fontId="97" fillId="0" borderId="2" xfId="5" applyNumberFormat="1" applyFont="1" applyBorder="1" applyAlignment="1">
      <alignment horizontal="right" wrapText="1"/>
    </xf>
    <xf numFmtId="3" fontId="98" fillId="0" borderId="2" xfId="5" applyNumberFormat="1" applyFont="1" applyBorder="1" applyAlignment="1">
      <alignment horizontal="right" wrapText="1"/>
    </xf>
    <xf numFmtId="3" fontId="95" fillId="0" borderId="0" xfId="5" applyNumberFormat="1" applyFont="1" applyAlignment="1">
      <alignment horizontal="right" wrapText="1"/>
    </xf>
    <xf numFmtId="0" fontId="96" fillId="0" borderId="0" xfId="5" applyFont="1" applyBorder="1" applyAlignment="1">
      <alignment horizontal="left" vertical="center" wrapText="1"/>
    </xf>
    <xf numFmtId="0" fontId="93" fillId="0" borderId="0" xfId="5" applyFont="1" applyBorder="1"/>
    <xf numFmtId="3" fontId="95" fillId="0" borderId="0" xfId="5" applyNumberFormat="1" applyFont="1" applyBorder="1" applyAlignment="1">
      <alignment horizontal="right" wrapText="1"/>
    </xf>
    <xf numFmtId="3" fontId="93" fillId="0" borderId="0" xfId="5" applyNumberFormat="1" applyFont="1" applyBorder="1"/>
    <xf numFmtId="3" fontId="92" fillId="0" borderId="0" xfId="5" applyNumberFormat="1" applyFont="1" applyBorder="1"/>
    <xf numFmtId="0" fontId="93" fillId="0" borderId="0" xfId="5" applyFont="1"/>
    <xf numFmtId="0" fontId="92" fillId="14" borderId="0" xfId="0" applyFont="1" applyFill="1" applyBorder="1" applyAlignment="1">
      <alignment horizontal="center"/>
    </xf>
    <xf numFmtId="0" fontId="91" fillId="14" borderId="0" xfId="0" applyFont="1" applyFill="1" applyBorder="1"/>
    <xf numFmtId="0" fontId="92" fillId="0" borderId="0" xfId="0" applyFont="1" applyAlignment="1"/>
    <xf numFmtId="0" fontId="92" fillId="0" borderId="0" xfId="0" applyFont="1"/>
    <xf numFmtId="171" fontId="91" fillId="0" borderId="0" xfId="0" applyNumberFormat="1" applyFont="1"/>
    <xf numFmtId="171" fontId="92" fillId="0" borderId="0" xfId="0" applyNumberFormat="1" applyFont="1"/>
    <xf numFmtId="0" fontId="99" fillId="0" borderId="0" xfId="0" applyFont="1"/>
    <xf numFmtId="171" fontId="99" fillId="0" borderId="0" xfId="0" applyNumberFormat="1" applyFont="1"/>
    <xf numFmtId="0" fontId="92" fillId="4" borderId="0" xfId="0" applyFont="1" applyFill="1"/>
    <xf numFmtId="171" fontId="92" fillId="4" borderId="0" xfId="0" applyNumberFormat="1" applyFont="1" applyFill="1"/>
    <xf numFmtId="171" fontId="93" fillId="0" borderId="0" xfId="0" applyNumberFormat="1" applyFont="1"/>
    <xf numFmtId="0" fontId="93" fillId="0" borderId="0" xfId="0" applyFont="1"/>
    <xf numFmtId="10" fontId="99" fillId="14" borderId="0" xfId="0" applyNumberFormat="1" applyFont="1" applyFill="1"/>
    <xf numFmtId="171" fontId="99" fillId="14" borderId="0" xfId="0" applyNumberFormat="1" applyFont="1" applyFill="1"/>
    <xf numFmtId="171" fontId="43" fillId="14" borderId="0" xfId="0" applyNumberFormat="1" applyFont="1" applyFill="1"/>
    <xf numFmtId="10" fontId="91" fillId="0" borderId="0" xfId="0" applyNumberFormat="1" applyFont="1"/>
    <xf numFmtId="0" fontId="43" fillId="14" borderId="0" xfId="0" applyFont="1" applyFill="1"/>
    <xf numFmtId="0" fontId="92" fillId="14" borderId="0" xfId="0" applyFont="1" applyFill="1"/>
    <xf numFmtId="171" fontId="92" fillId="14" borderId="0" xfId="0" applyNumberFormat="1" applyFont="1" applyFill="1"/>
    <xf numFmtId="171" fontId="93" fillId="14" borderId="0" xfId="0" applyNumberFormat="1" applyFont="1" applyFill="1"/>
    <xf numFmtId="0" fontId="91" fillId="14" borderId="0" xfId="0" applyFont="1" applyFill="1"/>
    <xf numFmtId="0" fontId="93" fillId="14" borderId="0" xfId="0" applyFont="1" applyFill="1"/>
    <xf numFmtId="171" fontId="92" fillId="14" borderId="0" xfId="0" applyNumberFormat="1" applyFont="1" applyFill="1" applyBorder="1"/>
    <xf numFmtId="44" fontId="92" fillId="14" borderId="0" xfId="0" applyNumberFormat="1" applyFont="1" applyFill="1"/>
    <xf numFmtId="44" fontId="92" fillId="14" borderId="0" xfId="0" applyNumberFormat="1" applyFont="1" applyFill="1" applyBorder="1"/>
    <xf numFmtId="0" fontId="91" fillId="0" borderId="0" xfId="0" applyFont="1" applyBorder="1"/>
    <xf numFmtId="171" fontId="43" fillId="0" borderId="0" xfId="0" applyNumberFormat="1" applyFont="1"/>
    <xf numFmtId="0" fontId="100" fillId="4" borderId="0" xfId="0" applyFont="1" applyFill="1"/>
    <xf numFmtId="171" fontId="100" fillId="4" borderId="0" xfId="0" applyNumberFormat="1" applyFont="1" applyFill="1"/>
    <xf numFmtId="171" fontId="100" fillId="0" borderId="0" xfId="0" applyNumberFormat="1" applyFont="1"/>
    <xf numFmtId="171" fontId="100" fillId="12" borderId="9" xfId="0" applyNumberFormat="1" applyFont="1" applyFill="1" applyBorder="1"/>
    <xf numFmtId="0" fontId="92" fillId="14" borderId="0" xfId="0" applyFont="1" applyFill="1" applyBorder="1" applyAlignment="1"/>
    <xf numFmtId="0" fontId="100" fillId="14" borderId="0" xfId="0" applyFont="1" applyFill="1"/>
    <xf numFmtId="171" fontId="100" fillId="14" borderId="0" xfId="0" applyNumberFormat="1" applyFont="1" applyFill="1"/>
    <xf numFmtId="0" fontId="92" fillId="14" borderId="0" xfId="0" applyFont="1" applyFill="1" applyBorder="1"/>
    <xf numFmtId="0" fontId="92" fillId="14" borderId="0" xfId="0" applyFont="1" applyFill="1" applyAlignment="1"/>
    <xf numFmtId="0" fontId="92" fillId="14" borderId="0" xfId="0" applyFont="1" applyFill="1" applyAlignment="1">
      <alignment horizontal="center"/>
    </xf>
    <xf numFmtId="0" fontId="100" fillId="0" borderId="0" xfId="0" applyFont="1"/>
    <xf numFmtId="44" fontId="91" fillId="0" borderId="0" xfId="0" applyNumberFormat="1" applyFont="1" applyBorder="1"/>
    <xf numFmtId="0" fontId="92" fillId="0" borderId="0" xfId="0" applyFont="1" applyBorder="1" applyAlignment="1">
      <alignment horizontal="center"/>
    </xf>
    <xf numFmtId="44" fontId="92" fillId="0" borderId="0" xfId="0" applyNumberFormat="1" applyFont="1" applyBorder="1" applyAlignment="1">
      <alignment horizontal="center"/>
    </xf>
    <xf numFmtId="0" fontId="92" fillId="0" borderId="0" xfId="0" applyFont="1" applyBorder="1" applyAlignment="1"/>
    <xf numFmtId="44" fontId="93" fillId="0" borderId="0" xfId="0" applyNumberFormat="1" applyFont="1"/>
    <xf numFmtId="44" fontId="92" fillId="0" borderId="0" xfId="0" applyNumberFormat="1" applyFont="1"/>
    <xf numFmtId="171" fontId="92" fillId="12" borderId="6" xfId="0" applyNumberFormat="1" applyFont="1" applyFill="1" applyBorder="1"/>
    <xf numFmtId="3" fontId="46" fillId="14" borderId="0" xfId="7" applyNumberFormat="1" applyFont="1" applyFill="1"/>
    <xf numFmtId="0" fontId="22" fillId="14" borderId="0" xfId="8" applyFont="1" applyFill="1"/>
    <xf numFmtId="0" fontId="27" fillId="0" borderId="0" xfId="8" applyFont="1" applyAlignment="1">
      <alignment horizontal="right"/>
    </xf>
    <xf numFmtId="0" fontId="27" fillId="0" borderId="0" xfId="8" applyFont="1"/>
    <xf numFmtId="3" fontId="22" fillId="14" borderId="0" xfId="8" applyNumberFormat="1" applyFont="1" applyFill="1"/>
    <xf numFmtId="44" fontId="89" fillId="14" borderId="0" xfId="0" applyNumberFormat="1" applyFont="1" applyFill="1"/>
    <xf numFmtId="44" fontId="89" fillId="0" borderId="0" xfId="0" applyNumberFormat="1" applyFont="1"/>
    <xf numFmtId="0" fontId="102" fillId="0" borderId="0" xfId="0" applyFont="1"/>
    <xf numFmtId="44" fontId="102" fillId="0" borderId="0" xfId="0" applyNumberFormat="1" applyFont="1"/>
    <xf numFmtId="0" fontId="103" fillId="0" borderId="0" xfId="0" applyFont="1"/>
    <xf numFmtId="44" fontId="103" fillId="0" borderId="0" xfId="0" applyNumberFormat="1" applyFont="1"/>
    <xf numFmtId="171" fontId="103" fillId="0" borderId="0" xfId="0" applyNumberFormat="1" applyFont="1"/>
    <xf numFmtId="0" fontId="104" fillId="0" borderId="0" xfId="0" applyFont="1"/>
    <xf numFmtId="171" fontId="104" fillId="0" borderId="0" xfId="0" applyNumberFormat="1" applyFont="1"/>
    <xf numFmtId="44" fontId="104" fillId="0" borderId="0" xfId="0" applyNumberFormat="1" applyFont="1"/>
    <xf numFmtId="0" fontId="103" fillId="4" borderId="0" xfId="0" applyFont="1" applyFill="1"/>
    <xf numFmtId="44" fontId="103" fillId="4" borderId="0" xfId="0" applyNumberFormat="1" applyFont="1" applyFill="1"/>
    <xf numFmtId="171" fontId="103" fillId="4" borderId="0" xfId="0" applyNumberFormat="1" applyFont="1" applyFill="1" applyBorder="1"/>
    <xf numFmtId="171" fontId="103" fillId="4" borderId="0" xfId="0" applyNumberFormat="1" applyFont="1" applyFill="1"/>
    <xf numFmtId="44" fontId="105" fillId="0" borderId="0" xfId="0" applyNumberFormat="1" applyFont="1"/>
    <xf numFmtId="0" fontId="103" fillId="14" borderId="0" xfId="0" applyFont="1" applyFill="1"/>
    <xf numFmtId="0" fontId="103" fillId="12" borderId="0" xfId="0" applyFont="1" applyFill="1"/>
    <xf numFmtId="171" fontId="103" fillId="12" borderId="0" xfId="0" applyNumberFormat="1" applyFont="1" applyFill="1"/>
    <xf numFmtId="44" fontId="103" fillId="14" borderId="0" xfId="0" applyNumberFormat="1" applyFont="1" applyFill="1"/>
    <xf numFmtId="171" fontId="103" fillId="12" borderId="6" xfId="0" applyNumberFormat="1" applyFont="1" applyFill="1" applyBorder="1"/>
    <xf numFmtId="0" fontId="105" fillId="14" borderId="0" xfId="0" applyFont="1" applyFill="1"/>
    <xf numFmtId="44" fontId="105" fillId="14" borderId="0" xfId="0" applyNumberFormat="1" applyFont="1" applyFill="1"/>
    <xf numFmtId="171" fontId="102" fillId="0" borderId="0" xfId="0" applyNumberFormat="1" applyFont="1"/>
    <xf numFmtId="171" fontId="103" fillId="14" borderId="0" xfId="0" applyNumberFormat="1" applyFont="1" applyFill="1" applyBorder="1"/>
    <xf numFmtId="171" fontId="103" fillId="14" borderId="0" xfId="0" applyNumberFormat="1" applyFont="1" applyFill="1"/>
    <xf numFmtId="171" fontId="106" fillId="0" borderId="0" xfId="0" applyNumberFormat="1" applyFont="1"/>
    <xf numFmtId="0" fontId="103" fillId="14" borderId="0" xfId="0" applyFont="1" applyFill="1" applyAlignment="1">
      <alignment horizontal="center"/>
    </xf>
    <xf numFmtId="0" fontId="103" fillId="14" borderId="0" xfId="0" applyFont="1" applyFill="1" applyAlignment="1">
      <alignment horizontal="left"/>
    </xf>
    <xf numFmtId="171" fontId="103" fillId="14" borderId="0" xfId="0" applyNumberFormat="1" applyFont="1" applyFill="1" applyAlignment="1">
      <alignment horizontal="center"/>
    </xf>
    <xf numFmtId="171" fontId="103" fillId="4" borderId="0" xfId="0" applyNumberFormat="1" applyFont="1" applyFill="1" applyAlignment="1">
      <alignment horizontal="center"/>
    </xf>
    <xf numFmtId="0" fontId="104" fillId="14" borderId="0" xfId="0" applyFont="1" applyFill="1" applyAlignment="1">
      <alignment horizontal="center"/>
    </xf>
    <xf numFmtId="171" fontId="104" fillId="14" borderId="0" xfId="0" applyNumberFormat="1" applyFont="1" applyFill="1" applyAlignment="1">
      <alignment horizontal="center"/>
    </xf>
    <xf numFmtId="171" fontId="89" fillId="0" borderId="0" xfId="0" applyNumberFormat="1" applyFont="1"/>
    <xf numFmtId="171" fontId="105" fillId="0" borderId="0" xfId="0" applyNumberFormat="1" applyFont="1"/>
    <xf numFmtId="0" fontId="106" fillId="0" borderId="0" xfId="0" applyFont="1"/>
    <xf numFmtId="171" fontId="105" fillId="14" borderId="0" xfId="0" applyNumberFormat="1" applyFont="1" applyFill="1"/>
    <xf numFmtId="171" fontId="104" fillId="14" borderId="0" xfId="0" applyNumberFormat="1" applyFont="1" applyFill="1"/>
    <xf numFmtId="0" fontId="104" fillId="14" borderId="0" xfId="0" applyFont="1" applyFill="1"/>
    <xf numFmtId="171" fontId="104" fillId="9" borderId="0" xfId="0" applyNumberFormat="1" applyFont="1" applyFill="1"/>
    <xf numFmtId="171" fontId="106" fillId="14" borderId="0" xfId="0" applyNumberFormat="1" applyFont="1" applyFill="1"/>
    <xf numFmtId="44" fontId="103" fillId="9" borderId="0" xfId="0" applyNumberFormat="1" applyFont="1" applyFill="1"/>
    <xf numFmtId="44" fontId="102" fillId="14" borderId="0" xfId="0" applyNumberFormat="1" applyFont="1" applyFill="1"/>
    <xf numFmtId="171" fontId="89" fillId="9" borderId="0" xfId="0" applyNumberFormat="1" applyFont="1" applyFill="1"/>
    <xf numFmtId="0" fontId="89" fillId="14" borderId="0" xfId="0" applyFont="1" applyFill="1" applyAlignment="1">
      <alignment horizontal="center" vertical="center" wrapText="1"/>
    </xf>
    <xf numFmtId="0" fontId="89" fillId="14" borderId="0" xfId="0" applyFont="1" applyFill="1" applyAlignment="1">
      <alignment horizontal="left" vertical="center" wrapText="1"/>
    </xf>
    <xf numFmtId="171" fontId="89" fillId="14" borderId="0" xfId="0" applyNumberFormat="1" applyFont="1" applyFill="1" applyAlignment="1">
      <alignment horizontal="center" vertical="center" wrapText="1"/>
    </xf>
    <xf numFmtId="44" fontId="104" fillId="14" borderId="0" xfId="0" applyNumberFormat="1" applyFont="1" applyFill="1"/>
    <xf numFmtId="0" fontId="89" fillId="14" borderId="0" xfId="0" applyFont="1" applyFill="1"/>
    <xf numFmtId="0" fontId="101" fillId="4" borderId="0" xfId="0" applyFont="1" applyFill="1"/>
    <xf numFmtId="171" fontId="101" fillId="4" borderId="0" xfId="0" applyNumberFormat="1" applyFont="1" applyFill="1"/>
    <xf numFmtId="0" fontId="101" fillId="0" borderId="0" xfId="0" applyFont="1"/>
    <xf numFmtId="0" fontId="101" fillId="13" borderId="0" xfId="0" applyFont="1" applyFill="1"/>
    <xf numFmtId="0" fontId="89" fillId="13" borderId="0" xfId="0" applyFont="1" applyFill="1"/>
    <xf numFmtId="171" fontId="89" fillId="13" borderId="0" xfId="0" applyNumberFormat="1" applyFont="1" applyFill="1"/>
    <xf numFmtId="171" fontId="101" fillId="13" borderId="0" xfId="0" applyNumberFormat="1" applyFont="1" applyFill="1"/>
    <xf numFmtId="44" fontId="101" fillId="0" borderId="0" xfId="0" applyNumberFormat="1" applyFont="1"/>
    <xf numFmtId="171" fontId="101" fillId="0" borderId="0" xfId="0" applyNumberFormat="1" applyFont="1"/>
    <xf numFmtId="171" fontId="101" fillId="12" borderId="0" xfId="0" applyNumberFormat="1" applyFont="1" applyFill="1"/>
    <xf numFmtId="171" fontId="101" fillId="14" borderId="0" xfId="0" applyNumberFormat="1" applyFont="1" applyFill="1" applyBorder="1"/>
    <xf numFmtId="171" fontId="89" fillId="14" borderId="0" xfId="0" applyNumberFormat="1" applyFont="1" applyFill="1" applyBorder="1"/>
    <xf numFmtId="0" fontId="89" fillId="0" borderId="0" xfId="0" applyFont="1" applyAlignment="1">
      <alignment horizontal="left"/>
    </xf>
    <xf numFmtId="171" fontId="89" fillId="14" borderId="0" xfId="0" applyNumberFormat="1" applyFont="1" applyFill="1"/>
    <xf numFmtId="171" fontId="101" fillId="14" borderId="0" xfId="0" applyNumberFormat="1" applyFont="1" applyFill="1"/>
    <xf numFmtId="0" fontId="101" fillId="14" borderId="0" xfId="0" applyFont="1" applyFill="1"/>
    <xf numFmtId="44" fontId="101" fillId="14" borderId="0" xfId="0" applyNumberFormat="1" applyFont="1" applyFill="1"/>
    <xf numFmtId="0" fontId="89" fillId="4" borderId="0" xfId="0" applyFont="1" applyFill="1"/>
    <xf numFmtId="171" fontId="89" fillId="4" borderId="0" xfId="0" applyNumberFormat="1" applyFont="1" applyFill="1" applyBorder="1"/>
    <xf numFmtId="0" fontId="101" fillId="14" borderId="0" xfId="0" applyFont="1" applyFill="1" applyAlignment="1"/>
    <xf numFmtId="171" fontId="101" fillId="14" borderId="0" xfId="0" applyNumberFormat="1" applyFont="1" applyFill="1" applyAlignment="1"/>
    <xf numFmtId="171" fontId="103" fillId="12" borderId="9" xfId="0" applyNumberFormat="1" applyFont="1" applyFill="1" applyBorder="1"/>
    <xf numFmtId="171" fontId="107" fillId="14" borderId="0" xfId="0" applyNumberFormat="1" applyFont="1" applyFill="1"/>
    <xf numFmtId="0" fontId="107" fillId="14" borderId="0" xfId="0" applyFont="1" applyFill="1"/>
    <xf numFmtId="44" fontId="107" fillId="14" borderId="0" xfId="0" applyNumberFormat="1" applyFont="1" applyFill="1"/>
    <xf numFmtId="171" fontId="101" fillId="12" borderId="6" xfId="0" applyNumberFormat="1" applyFont="1" applyFill="1" applyBorder="1"/>
    <xf numFmtId="167" fontId="91" fillId="0" borderId="0" xfId="0" applyNumberFormat="1" applyFont="1"/>
    <xf numFmtId="0" fontId="36" fillId="14" borderId="0" xfId="0" applyFont="1" applyFill="1"/>
    <xf numFmtId="44" fontId="36" fillId="14" borderId="0" xfId="0" applyNumberFormat="1" applyFont="1" applyFill="1"/>
    <xf numFmtId="171" fontId="36" fillId="14" borderId="0" xfId="0" applyNumberFormat="1" applyFont="1" applyFill="1"/>
    <xf numFmtId="0" fontId="108" fillId="0" borderId="0" xfId="1" applyFont="1"/>
    <xf numFmtId="3" fontId="108" fillId="0" borderId="0" xfId="1" applyNumberFormat="1" applyFont="1"/>
    <xf numFmtId="171" fontId="91" fillId="0" borderId="0" xfId="0" applyNumberFormat="1" applyFont="1" applyAlignment="1"/>
    <xf numFmtId="171" fontId="101" fillId="12" borderId="21" xfId="0" applyNumberFormat="1" applyFont="1" applyFill="1" applyBorder="1"/>
    <xf numFmtId="171" fontId="101" fillId="4" borderId="0" xfId="0" applyNumberFormat="1" applyFont="1" applyFill="1" applyBorder="1"/>
    <xf numFmtId="0" fontId="103" fillId="12" borderId="6" xfId="0" applyFont="1" applyFill="1" applyBorder="1"/>
    <xf numFmtId="0" fontId="103" fillId="12" borderId="7" xfId="0" applyFont="1" applyFill="1" applyBorder="1"/>
    <xf numFmtId="0" fontId="103" fillId="14" borderId="0" xfId="0" applyFont="1" applyFill="1" applyAlignment="1">
      <alignment horizontal="left"/>
    </xf>
    <xf numFmtId="0" fontId="33" fillId="14" borderId="0" xfId="0" applyFont="1" applyFill="1" applyBorder="1" applyAlignment="1">
      <alignment horizontal="center"/>
    </xf>
    <xf numFmtId="171" fontId="103" fillId="9" borderId="0" xfId="0" applyNumberFormat="1" applyFont="1" applyFill="1"/>
    <xf numFmtId="0" fontId="103" fillId="14" borderId="0" xfId="0" applyFont="1" applyFill="1" applyBorder="1" applyAlignment="1">
      <alignment horizontal="center"/>
    </xf>
    <xf numFmtId="44" fontId="104" fillId="9" borderId="0" xfId="0" applyNumberFormat="1" applyFont="1" applyFill="1"/>
    <xf numFmtId="44" fontId="33" fillId="0" borderId="0" xfId="0" applyNumberFormat="1" applyFont="1"/>
    <xf numFmtId="171" fontId="33" fillId="12" borderId="9" xfId="0" applyNumberFormat="1" applyFont="1" applyFill="1" applyBorder="1"/>
    <xf numFmtId="0" fontId="89" fillId="0" borderId="0" xfId="0" applyFont="1" applyAlignment="1">
      <alignment horizontal="left"/>
    </xf>
    <xf numFmtId="171" fontId="101" fillId="12" borderId="9" xfId="0" applyNumberFormat="1" applyFont="1" applyFill="1" applyBorder="1"/>
    <xf numFmtId="0" fontId="104" fillId="4" borderId="0" xfId="0" applyFont="1" applyFill="1"/>
    <xf numFmtId="171" fontId="104" fillId="4" borderId="0" xfId="0" applyNumberFormat="1" applyFont="1" applyFill="1"/>
    <xf numFmtId="44" fontId="106" fillId="14" borderId="0" xfId="0" applyNumberFormat="1" applyFont="1" applyFill="1"/>
    <xf numFmtId="171" fontId="81" fillId="14" borderId="0" xfId="0" applyNumberFormat="1" applyFont="1" applyFill="1"/>
    <xf numFmtId="0" fontId="81" fillId="14" borderId="0" xfId="0" applyFont="1" applyFill="1"/>
    <xf numFmtId="0" fontId="101" fillId="14" borderId="0" xfId="0" applyFont="1" applyFill="1" applyBorder="1" applyAlignment="1">
      <alignment horizontal="center"/>
    </xf>
    <xf numFmtId="0" fontId="101" fillId="14" borderId="0" xfId="0" applyFont="1" applyFill="1" applyAlignment="1">
      <alignment horizontal="center"/>
    </xf>
    <xf numFmtId="44" fontId="109" fillId="0" borderId="0" xfId="0" applyNumberFormat="1" applyFont="1"/>
    <xf numFmtId="171" fontId="109" fillId="0" borderId="0" xfId="0" applyNumberFormat="1" applyFont="1"/>
    <xf numFmtId="0" fontId="83" fillId="14" borderId="0" xfId="0" applyFont="1" applyFill="1"/>
    <xf numFmtId="171" fontId="83" fillId="14" borderId="0" xfId="0" applyNumberFormat="1" applyFont="1" applyFill="1"/>
    <xf numFmtId="171" fontId="33" fillId="14" borderId="0" xfId="0" applyNumberFormat="1" applyFont="1" applyFill="1"/>
    <xf numFmtId="171" fontId="101" fillId="15" borderId="9" xfId="0" applyNumberFormat="1" applyFont="1" applyFill="1" applyBorder="1" applyAlignment="1"/>
    <xf numFmtId="171" fontId="101" fillId="14" borderId="21" xfId="0" applyNumberFormat="1" applyFont="1" applyFill="1" applyBorder="1"/>
    <xf numFmtId="171" fontId="101" fillId="14" borderId="0" xfId="0" applyNumberFormat="1" applyFont="1" applyFill="1" applyAlignment="1">
      <alignment horizontal="center"/>
    </xf>
    <xf numFmtId="171" fontId="83" fillId="12" borderId="9" xfId="0" applyNumberFormat="1" applyFont="1" applyFill="1" applyBorder="1"/>
    <xf numFmtId="0" fontId="89" fillId="14" borderId="0" xfId="0" applyFont="1" applyFill="1" applyBorder="1" applyAlignment="1">
      <alignment horizontal="center"/>
    </xf>
    <xf numFmtId="0" fontId="89" fillId="0" borderId="0" xfId="0" applyFont="1" applyBorder="1"/>
    <xf numFmtId="0" fontId="83" fillId="0" borderId="0" xfId="0" applyFont="1" applyBorder="1"/>
    <xf numFmtId="44" fontId="89" fillId="0" borderId="0" xfId="0" applyNumberFormat="1" applyFont="1" applyBorder="1"/>
    <xf numFmtId="171" fontId="102" fillId="0" borderId="0" xfId="0" applyNumberFormat="1" applyFont="1" applyBorder="1"/>
    <xf numFmtId="171" fontId="104" fillId="0" borderId="0" xfId="0" applyNumberFormat="1" applyFont="1" applyBorder="1"/>
    <xf numFmtId="44" fontId="83" fillId="0" borderId="0" xfId="0" applyNumberFormat="1" applyFont="1" applyBorder="1"/>
    <xf numFmtId="171" fontId="110" fillId="0" borderId="0" xfId="0" applyNumberFormat="1" applyFont="1" applyBorder="1"/>
    <xf numFmtId="171" fontId="33" fillId="0" borderId="0" xfId="0" applyNumberFormat="1" applyFont="1" applyBorder="1"/>
    <xf numFmtId="171" fontId="110" fillId="0" borderId="0" xfId="0" applyNumberFormat="1" applyFont="1"/>
    <xf numFmtId="9" fontId="91" fillId="0" borderId="0" xfId="0" applyNumberFormat="1" applyFont="1"/>
    <xf numFmtId="1" fontId="19" fillId="14" borderId="0" xfId="5" applyNumberFormat="1" applyFill="1"/>
    <xf numFmtId="0" fontId="19" fillId="14" borderId="0" xfId="5" applyFill="1"/>
    <xf numFmtId="0" fontId="28" fillId="14" borderId="2" xfId="5" applyFont="1" applyFill="1" applyBorder="1"/>
    <xf numFmtId="0" fontId="26" fillId="14" borderId="0" xfId="5" applyFont="1" applyFill="1"/>
    <xf numFmtId="0" fontId="27" fillId="14" borderId="2" xfId="5" applyFont="1" applyFill="1" applyBorder="1"/>
    <xf numFmtId="3" fontId="27" fillId="14" borderId="2" xfId="5" applyNumberFormat="1" applyFont="1" applyFill="1" applyBorder="1" applyAlignment="1">
      <alignment horizontal="right" vertical="center"/>
    </xf>
    <xf numFmtId="0" fontId="25" fillId="14" borderId="0" xfId="5" applyFont="1" applyFill="1" applyBorder="1" applyAlignment="1">
      <alignment horizontal="center"/>
    </xf>
    <xf numFmtId="0" fontId="101" fillId="12" borderId="0" xfId="0" applyFont="1" applyFill="1" applyBorder="1" applyAlignment="1">
      <alignment horizontal="center"/>
    </xf>
    <xf numFmtId="3" fontId="101" fillId="14" borderId="0" xfId="0" applyNumberFormat="1" applyFont="1" applyFill="1" applyAlignment="1">
      <alignment horizontal="center"/>
    </xf>
    <xf numFmtId="167" fontId="101" fillId="14" borderId="0" xfId="0" applyNumberFormat="1" applyFont="1" applyFill="1" applyAlignment="1">
      <alignment horizontal="center"/>
    </xf>
    <xf numFmtId="0" fontId="101" fillId="4" borderId="0" xfId="0" applyFont="1" applyFill="1" applyAlignment="1">
      <alignment horizontal="center"/>
    </xf>
    <xf numFmtId="167" fontId="101" fillId="4" borderId="0" xfId="0" applyNumberFormat="1" applyFont="1" applyFill="1" applyAlignment="1">
      <alignment horizontal="center"/>
    </xf>
    <xf numFmtId="3" fontId="26" fillId="12" borderId="2" xfId="5" applyNumberFormat="1" applyFont="1" applyFill="1" applyBorder="1"/>
    <xf numFmtId="0" fontId="16" fillId="0" borderId="0" xfId="8" applyBorder="1"/>
    <xf numFmtId="0" fontId="101" fillId="0" borderId="0" xfId="0" applyFont="1" applyAlignment="1">
      <alignment wrapText="1"/>
    </xf>
    <xf numFmtId="0" fontId="89" fillId="17" borderId="0" xfId="0" applyFont="1" applyFill="1"/>
    <xf numFmtId="0" fontId="33" fillId="4" borderId="0" xfId="0" applyFont="1" applyFill="1"/>
    <xf numFmtId="171" fontId="33" fillId="4" borderId="0" xfId="0" applyNumberFormat="1" applyFont="1" applyFill="1"/>
    <xf numFmtId="0" fontId="81" fillId="13" borderId="0" xfId="0" applyFont="1" applyFill="1"/>
    <xf numFmtId="171" fontId="81" fillId="13" borderId="0" xfId="0" applyNumberFormat="1" applyFont="1" applyFill="1"/>
    <xf numFmtId="171" fontId="89" fillId="17" borderId="0" xfId="0" applyNumberFormat="1" applyFont="1" applyFill="1"/>
    <xf numFmtId="0" fontId="100" fillId="14" borderId="0" xfId="0" applyFont="1" applyFill="1" applyBorder="1"/>
    <xf numFmtId="171" fontId="100" fillId="14" borderId="0" xfId="0" applyNumberFormat="1" applyFont="1" applyFill="1" applyBorder="1"/>
    <xf numFmtId="171" fontId="91" fillId="14" borderId="0" xfId="0" applyNumberFormat="1" applyFont="1" applyFill="1"/>
    <xf numFmtId="44" fontId="93" fillId="14" borderId="0" xfId="0" applyNumberFormat="1" applyFont="1" applyFill="1"/>
    <xf numFmtId="171" fontId="91" fillId="0" borderId="0" xfId="0" applyNumberFormat="1" applyFont="1" applyAlignment="1">
      <alignment wrapText="1"/>
    </xf>
    <xf numFmtId="171" fontId="100" fillId="12" borderId="6" xfId="0" applyNumberFormat="1" applyFont="1" applyFill="1" applyBorder="1"/>
    <xf numFmtId="0" fontId="92" fillId="0" borderId="0" xfId="0" applyFont="1" applyBorder="1" applyAlignment="1">
      <alignment wrapText="1"/>
    </xf>
    <xf numFmtId="0" fontId="89" fillId="0" borderId="0" xfId="0" applyFont="1" applyAlignment="1">
      <alignment horizontal="left"/>
    </xf>
    <xf numFmtId="0" fontId="83" fillId="0" borderId="0" xfId="0" applyFont="1" applyAlignment="1"/>
    <xf numFmtId="0" fontId="101" fillId="14" borderId="0" xfId="0" applyFont="1" applyFill="1" applyAlignment="1">
      <alignment horizontal="left"/>
    </xf>
    <xf numFmtId="3" fontId="35" fillId="14" borderId="19" xfId="5" applyNumberFormat="1" applyFont="1" applyFill="1" applyBorder="1"/>
    <xf numFmtId="3" fontId="2" fillId="0" borderId="2" xfId="7" applyNumberFormat="1" applyFont="1" applyBorder="1"/>
    <xf numFmtId="0" fontId="1" fillId="0" borderId="0" xfId="5" applyFont="1"/>
    <xf numFmtId="0" fontId="1" fillId="0" borderId="0" xfId="3" applyFont="1"/>
    <xf numFmtId="0" fontId="20" fillId="0" borderId="0" xfId="3" applyBorder="1"/>
    <xf numFmtId="0" fontId="1" fillId="0" borderId="0" xfId="3" applyFont="1" applyBorder="1"/>
    <xf numFmtId="0" fontId="79" fillId="0" borderId="0" xfId="8" applyFont="1"/>
    <xf numFmtId="0" fontId="79" fillId="0" borderId="0" xfId="7" applyFont="1"/>
    <xf numFmtId="0" fontId="51" fillId="0" borderId="0" xfId="7" applyFont="1"/>
    <xf numFmtId="0" fontId="23" fillId="12" borderId="0" xfId="5" applyFont="1" applyFill="1" applyAlignment="1">
      <alignment horizontal="center"/>
    </xf>
    <xf numFmtId="0" fontId="24" fillId="12" borderId="0" xfId="5" applyFont="1" applyFill="1" applyAlignment="1">
      <alignment horizontal="center"/>
    </xf>
    <xf numFmtId="0" fontId="22" fillId="4" borderId="6" xfId="5" applyFont="1" applyFill="1" applyBorder="1" applyAlignment="1">
      <alignment horizontal="center"/>
    </xf>
    <xf numFmtId="0" fontId="22" fillId="4" borderId="7" xfId="5" applyFont="1" applyFill="1" applyBorder="1" applyAlignment="1">
      <alignment horizontal="center"/>
    </xf>
    <xf numFmtId="0" fontId="22" fillId="4" borderId="10" xfId="5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23" fillId="4" borderId="6" xfId="3" applyFont="1" applyFill="1" applyBorder="1" applyAlignment="1">
      <alignment horizontal="center"/>
    </xf>
    <xf numFmtId="0" fontId="24" fillId="4" borderId="10" xfId="3" applyFont="1" applyFill="1" applyBorder="1" applyAlignment="1">
      <alignment horizontal="center"/>
    </xf>
    <xf numFmtId="0" fontId="24" fillId="4" borderId="7" xfId="3" applyFont="1" applyFill="1" applyBorder="1" applyAlignment="1">
      <alignment horizontal="center"/>
    </xf>
    <xf numFmtId="0" fontId="92" fillId="12" borderId="6" xfId="0" applyFont="1" applyFill="1" applyBorder="1" applyAlignment="1">
      <alignment horizontal="left"/>
    </xf>
    <xf numFmtId="0" fontId="92" fillId="12" borderId="7" xfId="0" applyFont="1" applyFill="1" applyBorder="1" applyAlignment="1">
      <alignment horizontal="left"/>
    </xf>
    <xf numFmtId="0" fontId="83" fillId="12" borderId="6" xfId="0" applyFont="1" applyFill="1" applyBorder="1" applyAlignment="1">
      <alignment horizontal="left"/>
    </xf>
    <xf numFmtId="0" fontId="83" fillId="12" borderId="7" xfId="0" applyFont="1" applyFill="1" applyBorder="1" applyAlignment="1">
      <alignment horizontal="left"/>
    </xf>
    <xf numFmtId="0" fontId="100" fillId="12" borderId="6" xfId="0" applyFont="1" applyFill="1" applyBorder="1" applyAlignment="1">
      <alignment horizontal="center"/>
    </xf>
    <xf numFmtId="0" fontId="100" fillId="12" borderId="7" xfId="0" applyFont="1" applyFill="1" applyBorder="1" applyAlignment="1">
      <alignment horizontal="center"/>
    </xf>
    <xf numFmtId="0" fontId="93" fillId="12" borderId="0" xfId="0" applyFont="1" applyFill="1" applyAlignment="1">
      <alignment horizontal="center"/>
    </xf>
    <xf numFmtId="0" fontId="92" fillId="12" borderId="6" xfId="0" applyFont="1" applyFill="1" applyBorder="1" applyAlignment="1">
      <alignment horizontal="center"/>
    </xf>
    <xf numFmtId="0" fontId="92" fillId="12" borderId="10" xfId="0" applyFont="1" applyFill="1" applyBorder="1" applyAlignment="1">
      <alignment horizontal="center"/>
    </xf>
    <xf numFmtId="0" fontId="92" fillId="12" borderId="7" xfId="0" applyFont="1" applyFill="1" applyBorder="1" applyAlignment="1">
      <alignment horizontal="center"/>
    </xf>
    <xf numFmtId="0" fontId="92" fillId="12" borderId="16" xfId="0" applyFont="1" applyFill="1" applyBorder="1" applyAlignment="1">
      <alignment horizontal="center"/>
    </xf>
    <xf numFmtId="0" fontId="92" fillId="12" borderId="15" xfId="0" applyFont="1" applyFill="1" applyBorder="1" applyAlignment="1">
      <alignment horizontal="center"/>
    </xf>
    <xf numFmtId="0" fontId="92" fillId="12" borderId="22" xfId="0" applyFont="1" applyFill="1" applyBorder="1" applyAlignment="1">
      <alignment horizontal="center"/>
    </xf>
    <xf numFmtId="0" fontId="92" fillId="12" borderId="8" xfId="0" applyFont="1" applyFill="1" applyBorder="1" applyAlignment="1">
      <alignment horizontal="center"/>
    </xf>
    <xf numFmtId="0" fontId="92" fillId="12" borderId="17" xfId="0" applyFont="1" applyFill="1" applyBorder="1" applyAlignment="1">
      <alignment horizontal="center"/>
    </xf>
    <xf numFmtId="0" fontId="92" fillId="12" borderId="23" xfId="0" applyFont="1" applyFill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4" borderId="0" xfId="0" applyFont="1" applyFill="1" applyAlignment="1">
      <alignment horizontal="center"/>
    </xf>
    <xf numFmtId="0" fontId="92" fillId="0" borderId="0" xfId="0" applyFont="1" applyAlignment="1">
      <alignment horizontal="left"/>
    </xf>
    <xf numFmtId="0" fontId="92" fillId="0" borderId="0" xfId="0" applyFont="1" applyBorder="1" applyAlignment="1">
      <alignment horizontal="left" wrapText="1"/>
    </xf>
    <xf numFmtId="0" fontId="92" fillId="0" borderId="0" xfId="0" applyFont="1" applyBorder="1" applyAlignment="1">
      <alignment horizontal="center" wrapText="1"/>
    </xf>
    <xf numFmtId="0" fontId="92" fillId="4" borderId="0" xfId="1" applyFont="1" applyFill="1" applyAlignment="1">
      <alignment horizontal="center" wrapText="1"/>
    </xf>
    <xf numFmtId="0" fontId="92" fillId="0" borderId="0" xfId="0" applyFont="1" applyBorder="1" applyAlignment="1">
      <alignment horizontal="left"/>
    </xf>
    <xf numFmtId="0" fontId="93" fillId="0" borderId="0" xfId="1" applyFont="1" applyAlignment="1">
      <alignment wrapText="1"/>
    </xf>
    <xf numFmtId="0" fontId="93" fillId="0" borderId="0" xfId="1" applyFont="1"/>
    <xf numFmtId="0" fontId="92" fillId="14" borderId="3" xfId="5" applyFont="1" applyFill="1" applyBorder="1" applyAlignment="1">
      <alignment horizontal="center" wrapText="1"/>
    </xf>
    <xf numFmtId="0" fontId="92" fillId="14" borderId="4" xfId="5" applyFont="1" applyFill="1" applyBorder="1" applyAlignment="1">
      <alignment horizontal="center" wrapText="1"/>
    </xf>
    <xf numFmtId="0" fontId="92" fillId="14" borderId="5" xfId="5" applyFont="1" applyFill="1" applyBorder="1" applyAlignment="1">
      <alignment horizontal="center" wrapText="1"/>
    </xf>
    <xf numFmtId="0" fontId="92" fillId="14" borderId="13" xfId="5" applyFont="1" applyFill="1" applyBorder="1" applyAlignment="1">
      <alignment horizontal="center" wrapText="1"/>
    </xf>
    <xf numFmtId="0" fontId="93" fillId="0" borderId="13" xfId="5" applyFont="1" applyBorder="1" applyAlignment="1">
      <alignment horizontal="center" wrapText="1"/>
    </xf>
    <xf numFmtId="0" fontId="83" fillId="4" borderId="0" xfId="0" applyFont="1" applyFill="1" applyAlignment="1">
      <alignment horizontal="left"/>
    </xf>
    <xf numFmtId="0" fontId="83" fillId="0" borderId="0" xfId="0" applyFont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2" borderId="0" xfId="0" applyFont="1" applyFill="1" applyAlignment="1">
      <alignment horizontal="left"/>
    </xf>
    <xf numFmtId="0" fontId="101" fillId="12" borderId="0" xfId="0" applyFont="1" applyFill="1" applyAlignment="1">
      <alignment horizontal="left"/>
    </xf>
    <xf numFmtId="0" fontId="33" fillId="12" borderId="6" xfId="0" applyFont="1" applyFill="1" applyBorder="1" applyAlignment="1">
      <alignment horizontal="center"/>
    </xf>
    <xf numFmtId="0" fontId="33" fillId="12" borderId="10" xfId="0" applyFont="1" applyFill="1" applyBorder="1" applyAlignment="1">
      <alignment horizontal="center"/>
    </xf>
    <xf numFmtId="0" fontId="33" fillId="12" borderId="7" xfId="0" applyFont="1" applyFill="1" applyBorder="1" applyAlignment="1">
      <alignment horizontal="center"/>
    </xf>
    <xf numFmtId="0" fontId="101" fillId="15" borderId="0" xfId="0" applyFont="1" applyFill="1" applyAlignment="1">
      <alignment horizontal="center" vertical="center" wrapText="1"/>
    </xf>
    <xf numFmtId="0" fontId="104" fillId="12" borderId="0" xfId="0" applyFont="1" applyFill="1" applyAlignment="1">
      <alignment horizontal="center"/>
    </xf>
    <xf numFmtId="0" fontId="83" fillId="12" borderId="6" xfId="0" applyFont="1" applyFill="1" applyBorder="1" applyAlignment="1">
      <alignment horizontal="center"/>
    </xf>
    <xf numFmtId="0" fontId="83" fillId="12" borderId="10" xfId="0" applyFont="1" applyFill="1" applyBorder="1" applyAlignment="1">
      <alignment horizontal="center"/>
    </xf>
    <xf numFmtId="0" fontId="83" fillId="12" borderId="7" xfId="0" applyFont="1" applyFill="1" applyBorder="1" applyAlignment="1">
      <alignment horizontal="center"/>
    </xf>
    <xf numFmtId="0" fontId="103" fillId="12" borderId="0" xfId="0" applyFont="1" applyFill="1" applyAlignment="1">
      <alignment horizontal="left"/>
    </xf>
    <xf numFmtId="0" fontId="103" fillId="12" borderId="0" xfId="0" applyFont="1" applyFill="1" applyAlignment="1">
      <alignment horizontal="center"/>
    </xf>
    <xf numFmtId="0" fontId="103" fillId="0" borderId="0" xfId="0" applyFont="1" applyAlignment="1">
      <alignment horizontal="left"/>
    </xf>
    <xf numFmtId="0" fontId="101" fillId="0" borderId="12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83" fillId="15" borderId="6" xfId="0" applyFont="1" applyFill="1" applyBorder="1" applyAlignment="1">
      <alignment horizontal="center" vertical="center" wrapText="1"/>
    </xf>
    <xf numFmtId="0" fontId="83" fillId="15" borderId="10" xfId="0" applyFont="1" applyFill="1" applyBorder="1" applyAlignment="1">
      <alignment horizontal="center" vertical="center" wrapText="1"/>
    </xf>
    <xf numFmtId="0" fontId="83" fillId="15" borderId="7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left"/>
    </xf>
    <xf numFmtId="0" fontId="33" fillId="12" borderId="7" xfId="0" applyFont="1" applyFill="1" applyBorder="1" applyAlignment="1">
      <alignment horizontal="left"/>
    </xf>
    <xf numFmtId="0" fontId="103" fillId="12" borderId="6" xfId="0" applyFont="1" applyFill="1" applyBorder="1" applyAlignment="1">
      <alignment horizontal="center"/>
    </xf>
    <xf numFmtId="0" fontId="103" fillId="12" borderId="10" xfId="0" applyFont="1" applyFill="1" applyBorder="1" applyAlignment="1">
      <alignment horizontal="center"/>
    </xf>
    <xf numFmtId="0" fontId="103" fillId="12" borderId="7" xfId="0" applyFont="1" applyFill="1" applyBorder="1" applyAlignment="1">
      <alignment horizontal="center"/>
    </xf>
    <xf numFmtId="0" fontId="103" fillId="14" borderId="0" xfId="0" applyFont="1" applyFill="1" applyAlignment="1">
      <alignment horizontal="left"/>
    </xf>
    <xf numFmtId="0" fontId="104" fillId="12" borderId="0" xfId="0" applyFont="1" applyFill="1" applyAlignment="1">
      <alignment horizontal="left"/>
    </xf>
    <xf numFmtId="0" fontId="89" fillId="0" borderId="0" xfId="0" applyFont="1" applyAlignment="1">
      <alignment horizontal="left"/>
    </xf>
    <xf numFmtId="0" fontId="101" fillId="12" borderId="6" xfId="0" applyFont="1" applyFill="1" applyBorder="1" applyAlignment="1">
      <alignment horizontal="center"/>
    </xf>
    <xf numFmtId="0" fontId="101" fillId="12" borderId="10" xfId="0" applyFont="1" applyFill="1" applyBorder="1" applyAlignment="1">
      <alignment horizontal="center"/>
    </xf>
    <xf numFmtId="0" fontId="101" fillId="12" borderId="7" xfId="0" applyFont="1" applyFill="1" applyBorder="1" applyAlignment="1">
      <alignment horizontal="center"/>
    </xf>
    <xf numFmtId="0" fontId="89" fillId="12" borderId="6" xfId="0" applyFont="1" applyFill="1" applyBorder="1" applyAlignment="1">
      <alignment horizontal="center"/>
    </xf>
    <xf numFmtId="0" fontId="89" fillId="12" borderId="10" xfId="0" applyFont="1" applyFill="1" applyBorder="1" applyAlignment="1">
      <alignment horizontal="center"/>
    </xf>
    <xf numFmtId="171" fontId="89" fillId="14" borderId="0" xfId="0" applyNumberFormat="1" applyFont="1" applyFill="1" applyAlignment="1">
      <alignment horizontal="left"/>
    </xf>
    <xf numFmtId="171" fontId="101" fillId="12" borderId="6" xfId="0" applyNumberFormat="1" applyFont="1" applyFill="1" applyBorder="1" applyAlignment="1">
      <alignment horizontal="center"/>
    </xf>
    <xf numFmtId="171" fontId="101" fillId="12" borderId="10" xfId="0" applyNumberFormat="1" applyFont="1" applyFill="1" applyBorder="1" applyAlignment="1">
      <alignment horizontal="center"/>
    </xf>
    <xf numFmtId="171" fontId="101" fillId="12" borderId="7" xfId="0" applyNumberFormat="1" applyFont="1" applyFill="1" applyBorder="1" applyAlignment="1">
      <alignment horizontal="center"/>
    </xf>
    <xf numFmtId="0" fontId="104" fillId="0" borderId="0" xfId="0" applyFont="1" applyAlignment="1">
      <alignment horizontal="center"/>
    </xf>
    <xf numFmtId="171" fontId="103" fillId="12" borderId="6" xfId="0" applyNumberFormat="1" applyFont="1" applyFill="1" applyBorder="1" applyAlignment="1">
      <alignment horizontal="center"/>
    </xf>
    <xf numFmtId="171" fontId="103" fillId="12" borderId="10" xfId="0" applyNumberFormat="1" applyFont="1" applyFill="1" applyBorder="1" applyAlignment="1">
      <alignment horizontal="center"/>
    </xf>
    <xf numFmtId="171" fontId="103" fillId="12" borderId="7" xfId="0" applyNumberFormat="1" applyFont="1" applyFill="1" applyBorder="1" applyAlignment="1">
      <alignment horizontal="center"/>
    </xf>
    <xf numFmtId="171" fontId="101" fillId="12" borderId="0" xfId="0" applyNumberFormat="1" applyFont="1" applyFill="1" applyAlignment="1">
      <alignment horizontal="left"/>
    </xf>
    <xf numFmtId="0" fontId="101" fillId="15" borderId="0" xfId="0" applyFont="1" applyFill="1" applyAlignment="1">
      <alignment horizontal="left"/>
    </xf>
    <xf numFmtId="0" fontId="101" fillId="14" borderId="0" xfId="0" applyFont="1" applyFill="1" applyAlignment="1">
      <alignment horizontal="center"/>
    </xf>
    <xf numFmtId="0" fontId="81" fillId="14" borderId="0" xfId="0" applyFont="1" applyFill="1" applyAlignment="1">
      <alignment horizontal="left"/>
    </xf>
    <xf numFmtId="0" fontId="101" fillId="12" borderId="16" xfId="0" applyFont="1" applyFill="1" applyBorder="1" applyAlignment="1">
      <alignment horizontal="center"/>
    </xf>
    <xf numFmtId="0" fontId="101" fillId="12" borderId="15" xfId="0" applyFont="1" applyFill="1" applyBorder="1" applyAlignment="1">
      <alignment horizontal="center"/>
    </xf>
    <xf numFmtId="0" fontId="101" fillId="14" borderId="0" xfId="0" applyFont="1" applyFill="1" applyAlignment="1">
      <alignment horizontal="left"/>
    </xf>
    <xf numFmtId="0" fontId="25" fillId="12" borderId="3" xfId="5" applyFont="1" applyFill="1" applyBorder="1" applyAlignment="1">
      <alignment horizontal="center"/>
    </xf>
    <xf numFmtId="0" fontId="25" fillId="12" borderId="4" xfId="5" applyFont="1" applyFill="1" applyBorder="1" applyAlignment="1">
      <alignment horizontal="center"/>
    </xf>
    <xf numFmtId="0" fontId="25" fillId="12" borderId="5" xfId="5" applyFont="1" applyFill="1" applyBorder="1" applyAlignment="1">
      <alignment horizontal="center"/>
    </xf>
    <xf numFmtId="0" fontId="25" fillId="12" borderId="11" xfId="5" applyFont="1" applyFill="1" applyBorder="1" applyAlignment="1">
      <alignment horizontal="center"/>
    </xf>
    <xf numFmtId="0" fontId="26" fillId="12" borderId="6" xfId="5" applyFont="1" applyFill="1" applyBorder="1" applyAlignment="1">
      <alignment horizontal="left"/>
    </xf>
    <xf numFmtId="0" fontId="26" fillId="12" borderId="7" xfId="5" applyFont="1" applyFill="1" applyBorder="1" applyAlignment="1">
      <alignment horizontal="left"/>
    </xf>
    <xf numFmtId="0" fontId="30" fillId="12" borderId="3" xfId="5" applyFont="1" applyFill="1" applyBorder="1" applyAlignment="1">
      <alignment horizontal="center"/>
    </xf>
    <xf numFmtId="0" fontId="30" fillId="12" borderId="4" xfId="5" applyFont="1" applyFill="1" applyBorder="1" applyAlignment="1">
      <alignment horizontal="center"/>
    </xf>
    <xf numFmtId="0" fontId="30" fillId="12" borderId="5" xfId="5" applyFont="1" applyFill="1" applyBorder="1" applyAlignment="1">
      <alignment horizontal="center"/>
    </xf>
    <xf numFmtId="0" fontId="26" fillId="2" borderId="2" xfId="5" applyFont="1" applyFill="1" applyBorder="1" applyAlignment="1">
      <alignment horizontal="center" vertical="center"/>
    </xf>
    <xf numFmtId="3" fontId="34" fillId="2" borderId="2" xfId="5" applyNumberFormat="1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center" vertical="center"/>
    </xf>
    <xf numFmtId="0" fontId="30" fillId="12" borderId="11" xfId="5" applyFont="1" applyFill="1" applyBorder="1" applyAlignment="1">
      <alignment horizontal="center"/>
    </xf>
    <xf numFmtId="0" fontId="44" fillId="0" borderId="0" xfId="7" applyFont="1" applyAlignment="1">
      <alignment horizontal="center" vertical="center" wrapText="1"/>
    </xf>
    <xf numFmtId="0" fontId="17" fillId="0" borderId="0" xfId="7" applyAlignment="1">
      <alignment horizontal="center" vertical="center" wrapText="1"/>
    </xf>
    <xf numFmtId="0" fontId="44" fillId="0" borderId="0" xfId="7" applyFont="1" applyAlignment="1">
      <alignment horizontal="center" wrapText="1"/>
    </xf>
    <xf numFmtId="0" fontId="17" fillId="0" borderId="0" xfId="7" applyAlignment="1">
      <alignment horizontal="center" wrapText="1"/>
    </xf>
    <xf numFmtId="0" fontId="17" fillId="0" borderId="0" xfId="7" applyAlignment="1">
      <alignment wrapText="1"/>
    </xf>
    <xf numFmtId="0" fontId="45" fillId="0" borderId="0" xfId="7" applyFont="1" applyAlignment="1">
      <alignment horizontal="center" wrapText="1"/>
    </xf>
    <xf numFmtId="0" fontId="44" fillId="4" borderId="0" xfId="7" applyFont="1" applyFill="1" applyAlignment="1">
      <alignment horizontal="center" wrapText="1"/>
    </xf>
    <xf numFmtId="0" fontId="17" fillId="4" borderId="0" xfId="7" applyFill="1" applyAlignment="1">
      <alignment horizontal="center" wrapText="1"/>
    </xf>
    <xf numFmtId="0" fontId="17" fillId="4" borderId="0" xfId="7" applyFill="1" applyAlignment="1">
      <alignment wrapText="1"/>
    </xf>
    <xf numFmtId="0" fontId="45" fillId="4" borderId="0" xfId="7" applyFont="1" applyFill="1" applyAlignment="1">
      <alignment horizontal="center" wrapText="1"/>
    </xf>
    <xf numFmtId="0" fontId="44" fillId="0" borderId="0" xfId="8" applyFont="1" applyAlignment="1">
      <alignment horizontal="center" wrapText="1"/>
    </xf>
    <xf numFmtId="0" fontId="45" fillId="0" borderId="0" xfId="8" applyFont="1" applyAlignment="1">
      <alignment horizontal="center" wrapText="1"/>
    </xf>
    <xf numFmtId="0" fontId="16" fillId="0" borderId="0" xfId="8" applyAlignment="1">
      <alignment horizontal="center" wrapText="1"/>
    </xf>
    <xf numFmtId="0" fontId="64" fillId="0" borderId="0" xfId="8" applyFont="1" applyAlignment="1">
      <alignment horizontal="center" wrapText="1"/>
    </xf>
    <xf numFmtId="0" fontId="60" fillId="0" borderId="0" xfId="8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10">
    <cellStyle name="Ezres 2" xfId="2"/>
    <cellStyle name="Ezres 3" xfId="4"/>
    <cellStyle name="Normal" xfId="6"/>
    <cellStyle name="Normál" xfId="0" builtinId="0"/>
    <cellStyle name="Normál 2" xfId="1"/>
    <cellStyle name="Normál 3" xfId="3"/>
    <cellStyle name="Normál 4" xfId="5"/>
    <cellStyle name="Normál 5" xfId="7"/>
    <cellStyle name="Normál 6" xfId="8"/>
    <cellStyle name="Normal_KTRSZJ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alo4/Desktop/2019/K&#246;lts&#233;gvet&#233;s%202019/K&#246;lts&#233;gvet&#233;s%20&#233;s%20mell&#233;kletek%202019.%20Kaj&#225;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alo4/Desktop/2019/Elsz&#225;mol&#225;s%20t&#225;rs&#246;nkorm&#225;nyzatokkal/Elsz&#225;mol&#225;s%20Csaj&#225;g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alo4/Desktop/2019/Elsz&#225;mol&#225;s%20t&#225;rs&#246;nkorm&#225;nyzatokkal/Elsz&#225;mol&#225;s%20K&#252;ng&#246;s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alo4/Desktop/2019/Elsz&#225;mol&#225;s%20t&#225;rs&#246;nkorm&#225;nyzatokkal/Elsz&#225;mol&#225;s%20Akarattya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znalo4/Desktop/2019/K&#246;lts&#233;gvet&#233;s%202019/K&#246;lts&#233;gvet&#233;s%20&#233;s%20mell&#233;kletek%202019.%20Kaj&#225;r%20ezerfori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mogatásfelosztás"/>
      <sheetName val="KÖH Akarattya nélkül"/>
      <sheetName val="Személyi KÖH"/>
      <sheetName val="KÖH Csajág rendeletbe"/>
      <sheetName val="Személyi Ovi"/>
      <sheetName val="Személyi Önkormányzat"/>
      <sheetName val="Fõkönyvi kivonat ÖNK"/>
      <sheetName val="Önkorm bevételek"/>
      <sheetName val="Önkorm. kiadások"/>
      <sheetName val="Közös Hivatal"/>
      <sheetName val="COFOG-ok szerinti"/>
      <sheetName val="Rendeletbe"/>
      <sheetName val="Kiemelt EI."/>
      <sheetName val="Kiadások ÖNK"/>
      <sheetName val="Fõkönyvi kivonat OVI"/>
      <sheetName val="Kiadások OVI"/>
      <sheetName val="Fõkönyvi kivonat KÖH"/>
      <sheetName val="Kiadások KÖH"/>
      <sheetName val="Kiadások összetolt"/>
      <sheetName val="Bevételek ÖNK"/>
      <sheetName val="Bevételek Ovi"/>
      <sheetName val="Bevételek KÖH"/>
      <sheetName val="Bevételek összetolt"/>
      <sheetName val="Átvett pe."/>
      <sheetName val="Átadott pe."/>
      <sheetName val="Szociális kiadások"/>
      <sheetName val="Tartalékok"/>
      <sheetName val="Beruházások felújítások"/>
      <sheetName val="Helyi adók"/>
      <sheetName val="Létszám "/>
      <sheetName val="Intfin"/>
      <sheetName val="Gördülő"/>
      <sheetName val="KÖH táblázat rendeletbe"/>
    </sheetNames>
    <sheetDataSet>
      <sheetData sheetId="0">
        <row r="41">
          <cell r="B41">
            <v>23841144.977033235</v>
          </cell>
        </row>
        <row r="61">
          <cell r="B61">
            <v>2983566.3874628479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jág I.félév"/>
      <sheetName val="Csajág 10. hó"/>
      <sheetName val="Csajág 12. hó"/>
      <sheetName val="Fõkönyvi kivonat"/>
    </sheetNames>
    <sheetDataSet>
      <sheetData sheetId="0"/>
      <sheetData sheetId="1"/>
      <sheetData sheetId="2">
        <row r="16">
          <cell r="B16">
            <v>12103358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üngös I. félév"/>
      <sheetName val="Küngös 1.-10. hó"/>
      <sheetName val="Küngös 1.-12. hó"/>
      <sheetName val="Fõkönyvi kivonat"/>
    </sheetNames>
    <sheetDataSet>
      <sheetData sheetId="0"/>
      <sheetData sheetId="1"/>
      <sheetData sheetId="2">
        <row r="16">
          <cell r="B16">
            <v>7951214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arattya I. félév"/>
      <sheetName val="Akarattya 1.-10. hó"/>
      <sheetName val="Akarattya 1.-12. hó"/>
      <sheetName val="Fõkönyvi kivonat"/>
    </sheetNames>
    <sheetDataSet>
      <sheetData sheetId="0"/>
      <sheetData sheetId="1"/>
      <sheetData sheetId="2">
        <row r="17">
          <cell r="B17">
            <v>13063717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mogatásfelosztás"/>
      <sheetName val="Személyi KÖH"/>
      <sheetName val="KÖH Csajág rendeletbe"/>
      <sheetName val="Személyi Ovi"/>
      <sheetName val="Személyi Önkormányzat"/>
      <sheetName val="Fõkönyvi kivonat ÖNK"/>
      <sheetName val="Fõkönyvi kivonat KÖH"/>
      <sheetName val="Fõkönyvi kivonat OVI"/>
      <sheetName val="Önkorm bevételek"/>
      <sheetName val="Önkorm. kiadások"/>
      <sheetName val="Közös Hivatal"/>
      <sheetName val="COFOG-ok szerinti"/>
      <sheetName val="Rendeletbe"/>
      <sheetName val="Kiemelt EI."/>
      <sheetName val="Kiadások ÖNK"/>
      <sheetName val="Kiadások OVI"/>
      <sheetName val="Kiadások KÖH"/>
      <sheetName val="Kiadások összetolt"/>
      <sheetName val="Bevételek ÖNK"/>
      <sheetName val="Bevételek Ovi"/>
      <sheetName val="Bevételek KÖH"/>
      <sheetName val="Bevételek összetolt"/>
      <sheetName val="Átvett pe."/>
      <sheetName val="Átadott pe."/>
      <sheetName val="Szociális kiadások"/>
      <sheetName val="Tartalékok"/>
      <sheetName val="Beruházások felújítások"/>
      <sheetName val="Helyi adók"/>
      <sheetName val="Létszám "/>
      <sheetName val="Intfin"/>
      <sheetName val="Gördülő"/>
      <sheetName val="KÖH táblázat rendelet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7">
          <cell r="D97">
            <v>0</v>
          </cell>
        </row>
      </sheetData>
      <sheetData sheetId="18"/>
      <sheetData sheetId="19"/>
      <sheetData sheetId="20"/>
      <sheetData sheetId="21"/>
      <sheetData sheetId="22"/>
      <sheetData sheetId="23">
        <row r="35">
          <cell r="D35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njt.hu/cgi_bin/njt_doc.cgi?docid=142896.245143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169" workbookViewId="0">
      <selection activeCell="C190" sqref="C190"/>
    </sheetView>
  </sheetViews>
  <sheetFormatPr defaultColWidth="8.7109375" defaultRowHeight="15" x14ac:dyDescent="0.25"/>
  <cols>
    <col min="1" max="1" width="31" style="19" customWidth="1"/>
    <col min="2" max="2" width="13.42578125" style="19" customWidth="1"/>
    <col min="3" max="3" width="15" style="19" customWidth="1"/>
    <col min="4" max="4" width="13.85546875" style="19" customWidth="1"/>
    <col min="5" max="5" width="9.85546875" style="19" bestFit="1" customWidth="1"/>
    <col min="6" max="6" width="13.5703125" style="19" customWidth="1"/>
    <col min="7" max="16384" width="8.7109375" style="19"/>
  </cols>
  <sheetData>
    <row r="1" spans="1:5" ht="18.75" x14ac:dyDescent="0.3">
      <c r="A1" s="681" t="s">
        <v>35</v>
      </c>
      <c r="B1" s="682"/>
      <c r="C1" s="682"/>
      <c r="D1" s="682"/>
      <c r="E1" s="682"/>
    </row>
    <row r="2" spans="1:5" ht="18.75" x14ac:dyDescent="0.3">
      <c r="A2" s="20"/>
      <c r="B2" s="21"/>
      <c r="C2" s="21"/>
      <c r="D2" s="21"/>
      <c r="E2" s="21"/>
    </row>
    <row r="3" spans="1:5" x14ac:dyDescent="0.25">
      <c r="A3" s="22"/>
      <c r="B3" s="338">
        <v>2022</v>
      </c>
      <c r="C3" s="339"/>
    </row>
    <row r="4" spans="1:5" x14ac:dyDescent="0.25">
      <c r="A4" s="22" t="s">
        <v>6</v>
      </c>
      <c r="B4" s="24">
        <v>0.13</v>
      </c>
      <c r="C4" s="24"/>
    </row>
    <row r="5" spans="1:5" ht="15.75" thickBot="1" x14ac:dyDescent="0.3">
      <c r="A5" s="22"/>
      <c r="B5" s="25"/>
      <c r="C5" s="25"/>
    </row>
    <row r="6" spans="1:5" ht="15.75" thickBot="1" x14ac:dyDescent="0.3">
      <c r="A6" s="337" t="s">
        <v>36</v>
      </c>
      <c r="B6" s="23"/>
      <c r="C6" s="23"/>
    </row>
    <row r="7" spans="1:5" x14ac:dyDescent="0.25">
      <c r="A7" s="22"/>
      <c r="B7" s="23">
        <v>2021</v>
      </c>
      <c r="C7" s="23">
        <v>2022</v>
      </c>
      <c r="D7" s="23" t="s">
        <v>8</v>
      </c>
    </row>
    <row r="8" spans="1:5" x14ac:dyDescent="0.25">
      <c r="A8" s="19" t="s">
        <v>37</v>
      </c>
      <c r="B8" s="26">
        <v>398900</v>
      </c>
      <c r="C8" s="26">
        <f>SUM('ÖNK kiadás cofogra'!C8)</f>
        <v>650000</v>
      </c>
      <c r="D8" s="27">
        <f>SUM(C8*12)</f>
        <v>7800000</v>
      </c>
    </row>
    <row r="9" spans="1:5" x14ac:dyDescent="0.25">
      <c r="B9" s="26"/>
      <c r="C9" s="26"/>
    </row>
    <row r="10" spans="1:5" x14ac:dyDescent="0.25">
      <c r="A10" s="19" t="s">
        <v>12</v>
      </c>
      <c r="B10" s="26"/>
      <c r="C10" s="26"/>
      <c r="D10" s="26">
        <f>SUM('ÖNK kiadás cofogra'!C27)</f>
        <v>61829.5</v>
      </c>
    </row>
    <row r="11" spans="1:5" x14ac:dyDescent="0.25">
      <c r="B11" s="26"/>
      <c r="C11" s="26"/>
      <c r="D11" s="26"/>
    </row>
    <row r="12" spans="1:5" x14ac:dyDescent="0.25">
      <c r="A12" s="19" t="s">
        <v>38</v>
      </c>
      <c r="B12" s="26">
        <v>59835</v>
      </c>
      <c r="C12" s="26">
        <f>SUM('ÖNK kiadás cofogra'!C20)</f>
        <v>97500</v>
      </c>
      <c r="D12" s="26">
        <f>C12*12</f>
        <v>1170000</v>
      </c>
    </row>
    <row r="13" spans="1:5" x14ac:dyDescent="0.25">
      <c r="A13" s="257" t="s">
        <v>836</v>
      </c>
      <c r="B13" s="26"/>
      <c r="C13" s="26"/>
      <c r="D13" s="26">
        <f>SUM('ÖNK kiadás cofogra'!D10)</f>
        <v>50000</v>
      </c>
    </row>
    <row r="14" spans="1:5" s="255" customFormat="1" x14ac:dyDescent="0.25">
      <c r="A14" s="257"/>
      <c r="B14" s="26"/>
      <c r="C14" s="26"/>
      <c r="D14" s="26"/>
    </row>
    <row r="15" spans="1:5" x14ac:dyDescent="0.25">
      <c r="A15" s="19" t="s">
        <v>7</v>
      </c>
      <c r="B15" s="26"/>
      <c r="C15" s="26"/>
      <c r="D15" s="27">
        <f>SUM('ÖNK kiadás cofogra'!D9)</f>
        <v>200000</v>
      </c>
    </row>
    <row r="16" spans="1:5" x14ac:dyDescent="0.25">
      <c r="B16" s="26"/>
      <c r="C16" s="26"/>
      <c r="D16" s="26"/>
    </row>
    <row r="17" spans="1:6" x14ac:dyDescent="0.25">
      <c r="A17" s="19" t="s">
        <v>13</v>
      </c>
      <c r="B17" s="25">
        <v>0.15</v>
      </c>
      <c r="D17" s="26">
        <f>SUM('ÖNK kiadás cofogra'!C34)</f>
        <v>30000</v>
      </c>
    </row>
    <row r="18" spans="1:6" x14ac:dyDescent="0.25">
      <c r="A18" s="28" t="s">
        <v>14</v>
      </c>
      <c r="B18" s="29">
        <v>0.13</v>
      </c>
      <c r="C18" s="28"/>
      <c r="D18" s="30">
        <f>D15*B18</f>
        <v>26000</v>
      </c>
    </row>
    <row r="19" spans="1:6" x14ac:dyDescent="0.25">
      <c r="A19" s="22" t="s">
        <v>15</v>
      </c>
      <c r="B19" s="25"/>
      <c r="D19" s="27">
        <f>SUM(D17:D18)</f>
        <v>56000</v>
      </c>
      <c r="F19" s="26"/>
    </row>
    <row r="20" spans="1:6" s="255" customFormat="1" x14ac:dyDescent="0.25">
      <c r="A20" s="22"/>
      <c r="B20" s="25"/>
      <c r="D20" s="27"/>
      <c r="F20" s="26"/>
    </row>
    <row r="21" spans="1:6" s="255" customFormat="1" x14ac:dyDescent="0.25">
      <c r="A21" s="257" t="s">
        <v>150</v>
      </c>
      <c r="B21" s="258">
        <v>1080000</v>
      </c>
      <c r="C21" s="255">
        <f>SUM('ÖNK kiadás cofogra'!D12)</f>
        <v>1080000</v>
      </c>
      <c r="D21" s="259">
        <f>SUM(C21)</f>
        <v>1080000</v>
      </c>
      <c r="F21" s="26"/>
    </row>
    <row r="22" spans="1:6" x14ac:dyDescent="0.25">
      <c r="A22" s="257" t="s">
        <v>831</v>
      </c>
      <c r="B22" s="26">
        <v>26926</v>
      </c>
      <c r="C22" s="26">
        <f>SUM('ÖNK kiadás cofogra'!C21)</f>
        <v>26926</v>
      </c>
      <c r="D22" s="26">
        <f>SUM(C22*12)</f>
        <v>323112</v>
      </c>
    </row>
    <row r="23" spans="1:6" s="255" customFormat="1" x14ac:dyDescent="0.25">
      <c r="A23" s="257"/>
      <c r="B23" s="26"/>
      <c r="C23" s="26"/>
      <c r="D23" s="27">
        <f>SUM(D21:D22)</f>
        <v>1403112</v>
      </c>
    </row>
    <row r="24" spans="1:6" s="255" customFormat="1" x14ac:dyDescent="0.25">
      <c r="A24" s="257"/>
      <c r="B24" s="26"/>
      <c r="C24" s="26"/>
      <c r="D24" s="27"/>
    </row>
    <row r="25" spans="1:6" s="255" customFormat="1" x14ac:dyDescent="0.25">
      <c r="A25" s="257" t="s">
        <v>832</v>
      </c>
      <c r="B25" s="26"/>
      <c r="C25" s="26"/>
      <c r="D25" s="27">
        <f>SUM(D23*0.13)</f>
        <v>182404.56</v>
      </c>
    </row>
    <row r="26" spans="1:6" s="255" customFormat="1" x14ac:dyDescent="0.25">
      <c r="A26" s="257"/>
      <c r="B26" s="26"/>
      <c r="C26" s="26"/>
      <c r="D26" s="27"/>
    </row>
    <row r="27" spans="1:6" s="255" customFormat="1" x14ac:dyDescent="0.25">
      <c r="A27" s="257" t="s">
        <v>833</v>
      </c>
      <c r="B27" s="26"/>
      <c r="C27" s="26"/>
      <c r="D27" s="27">
        <f>SUM('ÖNK kiadás cofogra'!D23)</f>
        <v>50000</v>
      </c>
    </row>
    <row r="28" spans="1:6" s="255" customFormat="1" x14ac:dyDescent="0.25">
      <c r="A28" s="257"/>
      <c r="B28" s="26"/>
      <c r="C28" s="26"/>
      <c r="D28" s="27"/>
    </row>
    <row r="29" spans="1:6" s="255" customFormat="1" x14ac:dyDescent="0.25">
      <c r="A29" s="257" t="s">
        <v>834</v>
      </c>
      <c r="B29" s="26"/>
      <c r="C29" s="26"/>
      <c r="D29" s="27">
        <f>SUM('ÖNK kiadás cofogra'!C32)</f>
        <v>6500</v>
      </c>
    </row>
    <row r="30" spans="1:6" s="255" customFormat="1" x14ac:dyDescent="0.25">
      <c r="A30" s="257" t="s">
        <v>835</v>
      </c>
      <c r="B30" s="26"/>
      <c r="C30" s="26"/>
      <c r="D30" s="27">
        <f>SUM('ÖNK kiadás cofogra'!C35)</f>
        <v>7500</v>
      </c>
    </row>
    <row r="31" spans="1:6" s="256" customFormat="1" x14ac:dyDescent="0.25">
      <c r="A31" s="257"/>
      <c r="B31" s="26"/>
      <c r="C31" s="26"/>
      <c r="D31" s="27"/>
    </row>
    <row r="32" spans="1:6" s="256" customFormat="1" x14ac:dyDescent="0.25">
      <c r="A32" s="257"/>
      <c r="B32" s="265" t="s">
        <v>839</v>
      </c>
      <c r="C32" s="26">
        <f>SUM('ÖNK kiadás cofogra'!F24)</f>
        <v>11618712</v>
      </c>
      <c r="D32" s="27"/>
    </row>
    <row r="33" spans="1:5" s="255" customFormat="1" ht="15.75" thickBot="1" x14ac:dyDescent="0.3">
      <c r="A33" s="257"/>
      <c r="B33" s="265" t="s">
        <v>840</v>
      </c>
      <c r="C33" s="26">
        <f>SUM('ÖNK kiadás cofogra'!F36)</f>
        <v>1387218</v>
      </c>
      <c r="D33" s="27"/>
    </row>
    <row r="34" spans="1:5" s="255" customFormat="1" ht="15.75" thickBot="1" x14ac:dyDescent="0.3">
      <c r="A34" s="257"/>
      <c r="B34" s="26"/>
      <c r="C34" s="26"/>
      <c r="D34" s="260">
        <f>SUM(C32:C33)</f>
        <v>13005930</v>
      </c>
      <c r="E34" s="331"/>
    </row>
    <row r="35" spans="1:5" s="75" customFormat="1" x14ac:dyDescent="0.25">
      <c r="B35" s="26"/>
      <c r="C35" s="26"/>
      <c r="D35" s="26"/>
    </row>
    <row r="36" spans="1:5" s="75" customFormat="1" x14ac:dyDescent="0.25">
      <c r="B36" s="26"/>
      <c r="C36" s="26"/>
      <c r="D36" s="26"/>
    </row>
    <row r="37" spans="1:5" s="75" customFormat="1" x14ac:dyDescent="0.25">
      <c r="B37" s="26"/>
      <c r="C37" s="26"/>
      <c r="D37" s="26"/>
    </row>
    <row r="38" spans="1:5" ht="15.75" thickBot="1" x14ac:dyDescent="0.3">
      <c r="B38" s="26"/>
      <c r="C38" s="26"/>
      <c r="D38" s="26"/>
    </row>
    <row r="39" spans="1:5" ht="15.75" thickBot="1" x14ac:dyDescent="0.3">
      <c r="A39" s="337" t="s">
        <v>39</v>
      </c>
      <c r="B39" s="26"/>
      <c r="C39" s="26"/>
    </row>
    <row r="40" spans="1:5" x14ac:dyDescent="0.25">
      <c r="A40" s="22"/>
      <c r="B40" s="23">
        <v>2021</v>
      </c>
      <c r="C40" s="23">
        <v>2022</v>
      </c>
      <c r="D40" s="23" t="s">
        <v>8</v>
      </c>
    </row>
    <row r="41" spans="1:5" x14ac:dyDescent="0.25">
      <c r="A41" s="19" t="s">
        <v>40</v>
      </c>
      <c r="B41" s="26">
        <v>455000</v>
      </c>
      <c r="C41" s="26">
        <v>584231</v>
      </c>
      <c r="D41" s="27">
        <f>SUM(C41*12)</f>
        <v>7010772</v>
      </c>
    </row>
    <row r="42" spans="1:5" x14ac:dyDescent="0.25">
      <c r="B42" s="26"/>
      <c r="C42" s="26"/>
    </row>
    <row r="43" spans="1:5" x14ac:dyDescent="0.25">
      <c r="A43" s="19" t="s">
        <v>12</v>
      </c>
      <c r="B43" s="26"/>
      <c r="C43" s="26"/>
      <c r="D43" s="27">
        <f>SUM('ÖNK kiadás cofogra'!D513)</f>
        <v>70525</v>
      </c>
    </row>
    <row r="44" spans="1:5" x14ac:dyDescent="0.25">
      <c r="B44" s="26"/>
      <c r="C44" s="26"/>
      <c r="D44" s="26"/>
    </row>
    <row r="45" spans="1:5" x14ac:dyDescent="0.25">
      <c r="A45" s="19" t="s">
        <v>7</v>
      </c>
      <c r="B45" s="26"/>
      <c r="C45" s="26">
        <v>120000</v>
      </c>
      <c r="D45" s="27">
        <f>SUM('ÖNK kiadás cofogra'!E503)</f>
        <v>120000</v>
      </c>
    </row>
    <row r="46" spans="1:5" x14ac:dyDescent="0.25">
      <c r="B46" s="26"/>
      <c r="C46" s="26"/>
      <c r="D46" s="26"/>
    </row>
    <row r="47" spans="1:5" x14ac:dyDescent="0.25">
      <c r="A47" s="19" t="s">
        <v>13</v>
      </c>
      <c r="B47" s="25">
        <v>0.15</v>
      </c>
      <c r="D47" s="26">
        <f>D45*B47</f>
        <v>18000</v>
      </c>
    </row>
    <row r="48" spans="1:5" x14ac:dyDescent="0.25">
      <c r="A48" s="28" t="s">
        <v>14</v>
      </c>
      <c r="B48" s="29">
        <v>0.13</v>
      </c>
      <c r="C48" s="28"/>
      <c r="D48" s="30">
        <f>D45*B48</f>
        <v>15600</v>
      </c>
    </row>
    <row r="49" spans="1:5" x14ac:dyDescent="0.25">
      <c r="A49" s="22" t="s">
        <v>15</v>
      </c>
      <c r="B49" s="25"/>
      <c r="D49" s="27">
        <f>SUM(D47:D48)</f>
        <v>33600</v>
      </c>
    </row>
    <row r="50" spans="1:5" x14ac:dyDescent="0.25">
      <c r="B50" s="26"/>
      <c r="C50" s="26"/>
    </row>
    <row r="51" spans="1:5" x14ac:dyDescent="0.25">
      <c r="A51" s="19" t="s">
        <v>34</v>
      </c>
      <c r="B51" s="26"/>
      <c r="C51" s="26"/>
      <c r="D51" s="27">
        <f>15000*12</f>
        <v>180000</v>
      </c>
    </row>
    <row r="52" spans="1:5" x14ac:dyDescent="0.25">
      <c r="B52" s="26"/>
      <c r="C52" s="26"/>
    </row>
    <row r="53" spans="1:5" x14ac:dyDescent="0.25">
      <c r="A53" s="332" t="s">
        <v>1206</v>
      </c>
      <c r="B53" s="26"/>
      <c r="C53" s="26"/>
      <c r="D53" s="27">
        <f>SUM('ÖNK kiadás cofogra'!E501)</f>
        <v>0</v>
      </c>
    </row>
    <row r="54" spans="1:5" x14ac:dyDescent="0.25">
      <c r="A54" s="332" t="s">
        <v>1207</v>
      </c>
      <c r="B54" s="26"/>
      <c r="C54" s="26"/>
      <c r="D54" s="26">
        <f>SUM('ÖNK kiadás cofogra'!E499)</f>
        <v>300000</v>
      </c>
    </row>
    <row r="55" spans="1:5" x14ac:dyDescent="0.25">
      <c r="A55" s="19" t="s">
        <v>49</v>
      </c>
      <c r="B55" s="26"/>
      <c r="C55" s="26"/>
      <c r="D55" s="27">
        <f>SUM('ÖNK kiadás cofogra'!D515)</f>
        <v>39000</v>
      </c>
    </row>
    <row r="56" spans="1:5" s="256" customFormat="1" x14ac:dyDescent="0.25">
      <c r="B56" s="26"/>
      <c r="C56" s="26"/>
      <c r="D56" s="27"/>
    </row>
    <row r="57" spans="1:5" s="256" customFormat="1" x14ac:dyDescent="0.25">
      <c r="B57" s="265" t="s">
        <v>839</v>
      </c>
      <c r="C57" s="26">
        <f>SUM('ÖNK kiadás cofogra'!F511)</f>
        <v>7481541</v>
      </c>
      <c r="D57" s="27"/>
    </row>
    <row r="58" spans="1:5" s="256" customFormat="1" ht="15.75" thickBot="1" x14ac:dyDescent="0.3">
      <c r="B58" s="265" t="s">
        <v>840</v>
      </c>
      <c r="C58" s="26">
        <f>SUM('ÖNK kiadás cofogra'!F519)</f>
        <v>978575.33000000007</v>
      </c>
      <c r="D58" s="26"/>
    </row>
    <row r="59" spans="1:5" s="256" customFormat="1" ht="15.75" thickBot="1" x14ac:dyDescent="0.3">
      <c r="B59" s="26"/>
      <c r="C59" s="26"/>
      <c r="D59" s="260">
        <f>SUM(C57:C58)</f>
        <v>8460116.3300000001</v>
      </c>
      <c r="E59" s="342"/>
    </row>
    <row r="60" spans="1:5" s="256" customFormat="1" ht="15.75" thickBot="1" x14ac:dyDescent="0.3">
      <c r="B60" s="26"/>
      <c r="C60" s="26"/>
      <c r="D60" s="26"/>
    </row>
    <row r="61" spans="1:5" ht="15.75" thickBot="1" x14ac:dyDescent="0.3">
      <c r="A61" s="337" t="s">
        <v>837</v>
      </c>
      <c r="B61" s="26"/>
      <c r="C61" s="26"/>
    </row>
    <row r="62" spans="1:5" s="256" customFormat="1" x14ac:dyDescent="0.25">
      <c r="A62" s="263"/>
      <c r="B62" s="26"/>
      <c r="C62" s="26"/>
    </row>
    <row r="63" spans="1:5" x14ac:dyDescent="0.25">
      <c r="A63" s="22"/>
      <c r="B63" s="23">
        <v>2021</v>
      </c>
      <c r="C63" s="23">
        <v>2022</v>
      </c>
      <c r="D63" s="23" t="s">
        <v>8</v>
      </c>
    </row>
    <row r="64" spans="1:5" x14ac:dyDescent="0.25">
      <c r="A64" s="19" t="s">
        <v>41</v>
      </c>
      <c r="B64" s="26">
        <v>354100</v>
      </c>
      <c r="C64" s="47">
        <v>440232</v>
      </c>
      <c r="D64" s="26">
        <f>SUM(C64*12)</f>
        <v>5282784</v>
      </c>
      <c r="E64" s="33"/>
    </row>
    <row r="65" spans="1:5" x14ac:dyDescent="0.25">
      <c r="A65" s="19" t="s">
        <v>42</v>
      </c>
      <c r="B65" s="26">
        <v>1666000</v>
      </c>
      <c r="C65" s="47">
        <v>2142051</v>
      </c>
      <c r="D65" s="26">
        <f t="shared" ref="D65:D66" si="0">SUM(C65*12)</f>
        <v>25704612</v>
      </c>
      <c r="E65" s="33"/>
    </row>
    <row r="66" spans="1:5" x14ac:dyDescent="0.25">
      <c r="A66" s="28" t="s">
        <v>43</v>
      </c>
      <c r="B66" s="30">
        <v>320000</v>
      </c>
      <c r="C66" s="333">
        <f>SUM('ÖNK kiadás cofogra'!C448)</f>
        <v>320000</v>
      </c>
      <c r="D66" s="26">
        <f t="shared" si="0"/>
        <v>3840000</v>
      </c>
    </row>
    <row r="67" spans="1:5" x14ac:dyDescent="0.25">
      <c r="B67" s="26">
        <f>SUM(B64:B66)</f>
        <v>2340100</v>
      </c>
      <c r="C67" s="26">
        <f t="shared" ref="C67:D67" si="1">SUM(C64:C66)</f>
        <v>2902283</v>
      </c>
      <c r="D67" s="27">
        <f t="shared" si="1"/>
        <v>34827396</v>
      </c>
    </row>
    <row r="68" spans="1:5" x14ac:dyDescent="0.25">
      <c r="B68" s="26"/>
      <c r="C68" s="26"/>
      <c r="D68" s="26"/>
    </row>
    <row r="69" spans="1:5" x14ac:dyDescent="0.25">
      <c r="A69" s="19" t="s">
        <v>12</v>
      </c>
      <c r="B69" s="26"/>
      <c r="C69" s="26"/>
      <c r="D69" s="26">
        <f>SUM(D67*0.13)</f>
        <v>4527561.4800000004</v>
      </c>
    </row>
    <row r="70" spans="1:5" x14ac:dyDescent="0.25">
      <c r="B70" s="26"/>
      <c r="C70" s="26"/>
      <c r="D70" s="26"/>
    </row>
    <row r="71" spans="1:5" x14ac:dyDescent="0.25">
      <c r="A71" s="19" t="s">
        <v>7</v>
      </c>
      <c r="B71" s="26">
        <v>240000</v>
      </c>
      <c r="C71" s="26">
        <v>240000</v>
      </c>
      <c r="D71" s="27">
        <f>SUM('ÖNK kiadás cofogra'!E440)</f>
        <v>240000</v>
      </c>
    </row>
    <row r="72" spans="1:5" x14ac:dyDescent="0.25">
      <c r="B72" s="26"/>
      <c r="C72" s="26"/>
      <c r="D72" s="26"/>
    </row>
    <row r="73" spans="1:5" x14ac:dyDescent="0.25">
      <c r="A73" s="19" t="s">
        <v>13</v>
      </c>
      <c r="B73" s="25">
        <v>0.15</v>
      </c>
      <c r="D73" s="26">
        <f>SUM('ÖNK kiadás cofogra'!D459)</f>
        <v>36000</v>
      </c>
    </row>
    <row r="74" spans="1:5" x14ac:dyDescent="0.25">
      <c r="A74" s="28" t="s">
        <v>14</v>
      </c>
      <c r="B74" s="29">
        <v>0.13</v>
      </c>
      <c r="C74" s="28"/>
      <c r="D74" s="30">
        <f>D71*B74</f>
        <v>31200</v>
      </c>
    </row>
    <row r="75" spans="1:5" x14ac:dyDescent="0.25">
      <c r="A75" s="22" t="s">
        <v>15</v>
      </c>
      <c r="B75" s="25"/>
      <c r="D75" s="27">
        <f>SUM(D73:D74)</f>
        <v>67200</v>
      </c>
    </row>
    <row r="76" spans="1:5" x14ac:dyDescent="0.25">
      <c r="A76" s="22"/>
      <c r="B76" s="25"/>
      <c r="D76" s="27"/>
    </row>
    <row r="77" spans="1:5" x14ac:dyDescent="0.25">
      <c r="A77" s="19" t="s">
        <v>44</v>
      </c>
      <c r="B77" s="27"/>
      <c r="C77" s="27"/>
      <c r="D77" s="26">
        <f>SUM('ÖNK kiadás cofogra'!E443)</f>
        <v>61320</v>
      </c>
      <c r="E77" s="27"/>
    </row>
    <row r="78" spans="1:5" s="256" customFormat="1" x14ac:dyDescent="0.25">
      <c r="B78" s="27"/>
      <c r="C78" s="27"/>
      <c r="D78" s="26"/>
      <c r="E78" s="27"/>
    </row>
    <row r="79" spans="1:5" s="256" customFormat="1" x14ac:dyDescent="0.25">
      <c r="B79" s="27" t="s">
        <v>841</v>
      </c>
      <c r="C79" s="27">
        <f>SUM('ÖNK kiadás cofogra'!F452)</f>
        <v>29723981</v>
      </c>
      <c r="D79" s="26"/>
      <c r="E79" s="27"/>
    </row>
    <row r="80" spans="1:5" s="256" customFormat="1" ht="15.75" thickBot="1" x14ac:dyDescent="0.3">
      <c r="B80" s="27" t="s">
        <v>840</v>
      </c>
      <c r="C80" s="27">
        <f>SUM('ÖNK kiadás cofogra'!F460)</f>
        <v>4602691.1899999995</v>
      </c>
      <c r="D80" s="26"/>
      <c r="E80" s="27"/>
    </row>
    <row r="81" spans="1:5" s="256" customFormat="1" ht="15.75" thickBot="1" x14ac:dyDescent="0.3">
      <c r="B81" s="27"/>
      <c r="C81" s="27"/>
      <c r="D81" s="260">
        <f>SUM(C79:C80)</f>
        <v>34326672.189999998</v>
      </c>
      <c r="E81" s="334"/>
    </row>
    <row r="82" spans="1:5" s="256" customFormat="1" ht="15.75" thickBot="1" x14ac:dyDescent="0.3">
      <c r="B82" s="27"/>
      <c r="C82" s="27"/>
      <c r="D82" s="26"/>
      <c r="E82" s="27"/>
    </row>
    <row r="83" spans="1:5" ht="15.75" thickBot="1" x14ac:dyDescent="0.3">
      <c r="A83" s="337" t="s">
        <v>838</v>
      </c>
      <c r="B83" s="27"/>
      <c r="C83" s="27"/>
      <c r="D83" s="26"/>
      <c r="E83" s="27"/>
    </row>
    <row r="84" spans="1:5" x14ac:dyDescent="0.25">
      <c r="A84" s="22"/>
      <c r="B84" s="23">
        <v>2021</v>
      </c>
      <c r="C84" s="23">
        <v>2022</v>
      </c>
      <c r="D84" s="23" t="s">
        <v>8</v>
      </c>
      <c r="E84" s="27"/>
    </row>
    <row r="85" spans="1:5" x14ac:dyDescent="0.25">
      <c r="A85" s="19" t="s">
        <v>45</v>
      </c>
      <c r="B85" s="26">
        <v>116500</v>
      </c>
      <c r="C85" s="26">
        <v>137000</v>
      </c>
      <c r="D85" s="27">
        <f>C85*12</f>
        <v>1644000</v>
      </c>
    </row>
    <row r="86" spans="1:5" x14ac:dyDescent="0.25">
      <c r="B86" s="26"/>
      <c r="C86" s="26"/>
    </row>
    <row r="87" spans="1:5" x14ac:dyDescent="0.25">
      <c r="A87" s="19" t="s">
        <v>12</v>
      </c>
      <c r="B87" s="26"/>
      <c r="C87" s="26"/>
      <c r="D87" s="26">
        <f>SUM('ÖNK kiadás cofogra'!C597)</f>
        <v>18057.5</v>
      </c>
    </row>
    <row r="88" spans="1:5" x14ac:dyDescent="0.25">
      <c r="B88" s="26"/>
      <c r="C88" s="26"/>
      <c r="D88" s="26"/>
    </row>
    <row r="89" spans="1:5" x14ac:dyDescent="0.25">
      <c r="A89" s="19" t="s">
        <v>7</v>
      </c>
      <c r="B89" s="26">
        <v>0</v>
      </c>
      <c r="C89" s="26">
        <v>60000</v>
      </c>
      <c r="D89" s="27">
        <f>SUM('ÖNK kiadás cofogra'!E590)</f>
        <v>60000</v>
      </c>
    </row>
    <row r="90" spans="1:5" x14ac:dyDescent="0.25">
      <c r="B90" s="26"/>
      <c r="C90" s="26"/>
      <c r="D90" s="26"/>
    </row>
    <row r="91" spans="1:5" x14ac:dyDescent="0.25">
      <c r="A91" s="19" t="s">
        <v>13</v>
      </c>
      <c r="B91" s="25">
        <v>0.15</v>
      </c>
      <c r="D91" s="26">
        <f>SUM('ÖNK kiadás cofogra'!C601)</f>
        <v>9000</v>
      </c>
    </row>
    <row r="92" spans="1:5" x14ac:dyDescent="0.25">
      <c r="A92" s="28" t="s">
        <v>14</v>
      </c>
      <c r="B92" s="29">
        <v>0.13</v>
      </c>
      <c r="C92" s="28"/>
      <c r="D92" s="30">
        <f>D89*B92</f>
        <v>7800</v>
      </c>
    </row>
    <row r="93" spans="1:5" x14ac:dyDescent="0.25">
      <c r="A93" s="22" t="s">
        <v>15</v>
      </c>
      <c r="B93" s="25"/>
      <c r="D93" s="27">
        <f>SUM(D91:D92)</f>
        <v>16800</v>
      </c>
    </row>
    <row r="94" spans="1:5" x14ac:dyDescent="0.25">
      <c r="B94" s="26"/>
      <c r="C94" s="26"/>
    </row>
    <row r="95" spans="1:5" s="256" customFormat="1" x14ac:dyDescent="0.25">
      <c r="B95" s="265" t="s">
        <v>842</v>
      </c>
      <c r="C95" s="26">
        <f>SUM('ÖNK kiadás cofogra'!F594)</f>
        <v>1683500</v>
      </c>
    </row>
    <row r="96" spans="1:5" ht="15.75" thickBot="1" x14ac:dyDescent="0.3">
      <c r="B96" s="265" t="s">
        <v>843</v>
      </c>
      <c r="C96" s="26">
        <f>SUM('ÖNK kiadás cofogra'!F602)</f>
        <v>230767.5</v>
      </c>
    </row>
    <row r="97" spans="1:5" s="256" customFormat="1" ht="15.75" thickBot="1" x14ac:dyDescent="0.3">
      <c r="B97" s="265"/>
      <c r="C97" s="26"/>
      <c r="D97" s="260">
        <f>SUM(C95:C96)</f>
        <v>1914267.5</v>
      </c>
      <c r="E97" s="331"/>
    </row>
    <row r="98" spans="1:5" ht="15.75" thickBot="1" x14ac:dyDescent="0.3">
      <c r="B98" s="26"/>
      <c r="C98" s="26"/>
    </row>
    <row r="99" spans="1:5" ht="15.75" thickBot="1" x14ac:dyDescent="0.3">
      <c r="A99" s="337" t="s">
        <v>46</v>
      </c>
      <c r="B99" s="23"/>
      <c r="C99" s="23"/>
      <c r="D99" s="23" t="s">
        <v>8</v>
      </c>
    </row>
    <row r="100" spans="1:5" x14ac:dyDescent="0.25">
      <c r="A100" s="22"/>
      <c r="B100" s="23">
        <v>2021</v>
      </c>
      <c r="C100" s="23">
        <v>2022</v>
      </c>
      <c r="D100" s="23"/>
    </row>
    <row r="101" spans="1:5" s="256" customFormat="1" x14ac:dyDescent="0.25">
      <c r="A101" s="262" t="s">
        <v>183</v>
      </c>
      <c r="B101" s="26">
        <v>167400</v>
      </c>
      <c r="C101" s="26">
        <v>200000</v>
      </c>
      <c r="D101" s="26">
        <f>SUM(C101*12)</f>
        <v>2400000</v>
      </c>
    </row>
    <row r="102" spans="1:5" x14ac:dyDescent="0.25">
      <c r="B102" s="26"/>
      <c r="C102" s="26"/>
      <c r="D102" s="27">
        <f>SUM(D101:D101)</f>
        <v>2400000</v>
      </c>
    </row>
    <row r="103" spans="1:5" s="256" customFormat="1" x14ac:dyDescent="0.25">
      <c r="B103" s="26"/>
      <c r="C103" s="26"/>
      <c r="D103" s="27"/>
    </row>
    <row r="104" spans="1:5" x14ac:dyDescent="0.25">
      <c r="A104" s="19" t="s">
        <v>12</v>
      </c>
      <c r="B104" s="26"/>
      <c r="C104" s="26"/>
      <c r="D104" s="26">
        <f>SUM('ÖNK kiadás cofogra'!C369)</f>
        <v>167400</v>
      </c>
    </row>
    <row r="105" spans="1:5" x14ac:dyDescent="0.25">
      <c r="B105" s="26"/>
      <c r="C105" s="26"/>
      <c r="D105" s="27"/>
    </row>
    <row r="106" spans="1:5" x14ac:dyDescent="0.25">
      <c r="A106" s="19" t="s">
        <v>7</v>
      </c>
      <c r="B106" s="26"/>
      <c r="C106" s="26"/>
      <c r="D106" s="42">
        <f>SUM('ÖNK kiadás cofogra'!E362)</f>
        <v>0</v>
      </c>
    </row>
    <row r="107" spans="1:5" x14ac:dyDescent="0.25">
      <c r="B107" s="26"/>
      <c r="C107" s="26"/>
      <c r="D107" s="26"/>
    </row>
    <row r="108" spans="1:5" x14ac:dyDescent="0.25">
      <c r="A108" s="19" t="s">
        <v>13</v>
      </c>
      <c r="B108" s="25">
        <v>0.15</v>
      </c>
      <c r="D108" s="47">
        <f>SUM('ÖNK kiadás cofogra'!C374)</f>
        <v>0</v>
      </c>
    </row>
    <row r="109" spans="1:5" x14ac:dyDescent="0.25">
      <c r="A109" s="28" t="s">
        <v>14</v>
      </c>
      <c r="B109" s="29">
        <v>0</v>
      </c>
      <c r="C109" s="28"/>
      <c r="D109" s="30">
        <f>D106*B109</f>
        <v>0</v>
      </c>
    </row>
    <row r="110" spans="1:5" x14ac:dyDescent="0.25">
      <c r="A110" s="22" t="s">
        <v>15</v>
      </c>
      <c r="B110" s="25"/>
      <c r="D110" s="27">
        <f>SUM(D108:D109)</f>
        <v>0</v>
      </c>
    </row>
    <row r="111" spans="1:5" x14ac:dyDescent="0.25">
      <c r="B111" s="26"/>
      <c r="C111" s="26"/>
      <c r="D111" s="26"/>
    </row>
    <row r="112" spans="1:5" x14ac:dyDescent="0.25">
      <c r="A112" s="19" t="s">
        <v>16</v>
      </c>
      <c r="B112" s="26"/>
      <c r="C112" s="26"/>
      <c r="D112" s="27">
        <f>SUM('ÖNK kiadás cofogra'!E360)</f>
        <v>0</v>
      </c>
    </row>
    <row r="113" spans="1:6" x14ac:dyDescent="0.25">
      <c r="A113" s="19" t="s">
        <v>47</v>
      </c>
      <c r="B113" s="26"/>
      <c r="C113" s="26"/>
      <c r="D113" s="27">
        <f>SUM('ÖNK kiadás cofogra'!C372)</f>
        <v>0</v>
      </c>
    </row>
    <row r="114" spans="1:6" s="256" customFormat="1" x14ac:dyDescent="0.25">
      <c r="B114" s="26"/>
      <c r="C114" s="26"/>
      <c r="D114" s="27"/>
    </row>
    <row r="115" spans="1:6" s="256" customFormat="1" ht="15.75" thickBot="1" x14ac:dyDescent="0.3">
      <c r="B115" s="265" t="s">
        <v>844</v>
      </c>
      <c r="C115" s="26">
        <f>SUM('ÖNK kiadás cofogra'!F366)</f>
        <v>2367400</v>
      </c>
      <c r="D115" s="27"/>
    </row>
    <row r="116" spans="1:6" s="256" customFormat="1" ht="15.75" thickBot="1" x14ac:dyDescent="0.3">
      <c r="B116" s="265" t="s">
        <v>843</v>
      </c>
      <c r="C116" s="26">
        <f>SUM('ÖNK kiadás cofogra'!F375)</f>
        <v>311947</v>
      </c>
      <c r="D116" s="260">
        <f>SUM(C115:C116)</f>
        <v>2679347</v>
      </c>
      <c r="E116" s="331"/>
    </row>
    <row r="117" spans="1:6" s="256" customFormat="1" x14ac:dyDescent="0.25">
      <c r="B117" s="265"/>
      <c r="C117" s="26"/>
      <c r="D117" s="266"/>
    </row>
    <row r="118" spans="1:6" ht="15.75" thickBot="1" x14ac:dyDescent="0.3">
      <c r="B118" s="26"/>
      <c r="C118" s="26"/>
    </row>
    <row r="119" spans="1:6" ht="15.75" thickBot="1" x14ac:dyDescent="0.3">
      <c r="A119" s="337" t="s">
        <v>845</v>
      </c>
      <c r="B119" s="23"/>
      <c r="C119" s="23"/>
      <c r="D119" s="23" t="s">
        <v>8</v>
      </c>
    </row>
    <row r="120" spans="1:6" x14ac:dyDescent="0.25">
      <c r="A120" s="22"/>
      <c r="B120" s="23">
        <v>2021</v>
      </c>
      <c r="C120" s="23">
        <v>2022</v>
      </c>
      <c r="D120" s="23"/>
    </row>
    <row r="121" spans="1:6" x14ac:dyDescent="0.25">
      <c r="A121" s="19" t="s">
        <v>48</v>
      </c>
      <c r="B121" s="26">
        <v>167400</v>
      </c>
      <c r="C121" s="26">
        <v>200000</v>
      </c>
      <c r="D121" s="26">
        <f>SUM(C121*12)</f>
        <v>2400000</v>
      </c>
    </row>
    <row r="122" spans="1:6" s="256" customFormat="1" x14ac:dyDescent="0.25">
      <c r="A122" s="262" t="s">
        <v>846</v>
      </c>
      <c r="B122" s="26">
        <v>167400</v>
      </c>
      <c r="C122" s="26">
        <v>200000</v>
      </c>
      <c r="D122" s="26">
        <f>SUM(C122*12)</f>
        <v>2400000</v>
      </c>
    </row>
    <row r="123" spans="1:6" x14ac:dyDescent="0.25">
      <c r="B123" s="26"/>
      <c r="C123" s="26"/>
      <c r="D123" s="27">
        <f>SUM(D121:D122)</f>
        <v>4800000</v>
      </c>
    </row>
    <row r="124" spans="1:6" s="256" customFormat="1" x14ac:dyDescent="0.25">
      <c r="B124" s="26"/>
      <c r="C124" s="26"/>
      <c r="D124" s="26"/>
    </row>
    <row r="125" spans="1:6" x14ac:dyDescent="0.25">
      <c r="A125" s="19" t="s">
        <v>12</v>
      </c>
      <c r="B125" s="26"/>
      <c r="C125" s="26"/>
      <c r="D125" s="26">
        <f>SUM('ÖNK kiadás cofogra'!C333)</f>
        <v>334800</v>
      </c>
      <c r="F125" s="65"/>
    </row>
    <row r="126" spans="1:6" x14ac:dyDescent="0.25">
      <c r="B126" s="26"/>
      <c r="C126" s="26"/>
      <c r="D126" s="27"/>
    </row>
    <row r="127" spans="1:6" x14ac:dyDescent="0.25">
      <c r="A127" s="19" t="s">
        <v>7</v>
      </c>
      <c r="B127" s="26"/>
      <c r="C127" s="26"/>
      <c r="D127" s="42">
        <f>SUM('ÖNK kiadás cofogra'!E327)</f>
        <v>0</v>
      </c>
    </row>
    <row r="128" spans="1:6" x14ac:dyDescent="0.25">
      <c r="B128" s="26"/>
      <c r="C128" s="26"/>
      <c r="D128" s="26"/>
    </row>
    <row r="129" spans="1:6" x14ac:dyDescent="0.25">
      <c r="A129" s="19" t="s">
        <v>13</v>
      </c>
      <c r="B129" s="25">
        <v>0.15</v>
      </c>
      <c r="D129" s="26">
        <f>SUM('ÖNK kiadás cofogra'!C336)</f>
        <v>0</v>
      </c>
    </row>
    <row r="130" spans="1:6" x14ac:dyDescent="0.25">
      <c r="A130" s="28" t="s">
        <v>14</v>
      </c>
      <c r="B130" s="29">
        <v>0</v>
      </c>
      <c r="C130" s="28"/>
      <c r="D130" s="30">
        <f>D127*B130</f>
        <v>0</v>
      </c>
    </row>
    <row r="131" spans="1:6" x14ac:dyDescent="0.25">
      <c r="A131" s="22" t="s">
        <v>15</v>
      </c>
      <c r="B131" s="25"/>
      <c r="D131" s="27">
        <f>SUM(D129:D130)</f>
        <v>0</v>
      </c>
    </row>
    <row r="132" spans="1:6" s="256" customFormat="1" x14ac:dyDescent="0.25">
      <c r="A132" s="22"/>
      <c r="B132" s="25"/>
      <c r="D132" s="27"/>
    </row>
    <row r="133" spans="1:6" s="256" customFormat="1" ht="15.75" thickBot="1" x14ac:dyDescent="0.3">
      <c r="A133" s="22"/>
      <c r="B133" s="267" t="s">
        <v>847</v>
      </c>
      <c r="C133" s="26">
        <f>SUM('ÖNK kiadás cofogra'!F330)</f>
        <v>4734800</v>
      </c>
      <c r="D133" s="27"/>
    </row>
    <row r="134" spans="1:6" s="256" customFormat="1" ht="15.75" thickBot="1" x14ac:dyDescent="0.3">
      <c r="A134" s="22"/>
      <c r="B134" s="267" t="s">
        <v>848</v>
      </c>
      <c r="C134" s="26">
        <f>SUM('ÖNK kiadás cofogra'!F337)</f>
        <v>623894</v>
      </c>
      <c r="D134" s="260">
        <f>SUM(C133:C134)</f>
        <v>5358694</v>
      </c>
      <c r="E134" s="331">
        <f>SUM('ÖNK kiadás cofogra'!F330+'ÖNK kiadás cofogra'!F337)</f>
        <v>5358694</v>
      </c>
    </row>
    <row r="135" spans="1:6" ht="15.75" thickBot="1" x14ac:dyDescent="0.3"/>
    <row r="136" spans="1:6" ht="15.75" thickBot="1" x14ac:dyDescent="0.3">
      <c r="A136" s="683" t="s">
        <v>1210</v>
      </c>
      <c r="B136" s="685"/>
      <c r="C136" s="685"/>
      <c r="D136" s="684"/>
    </row>
    <row r="138" spans="1:6" x14ac:dyDescent="0.25">
      <c r="A138" s="22"/>
      <c r="B138" s="23">
        <v>2021</v>
      </c>
      <c r="C138" s="23">
        <v>2022</v>
      </c>
      <c r="D138" s="23" t="s">
        <v>8</v>
      </c>
    </row>
    <row r="139" spans="1:6" x14ac:dyDescent="0.25">
      <c r="A139" s="332" t="s">
        <v>850</v>
      </c>
      <c r="B139" s="26">
        <v>336000</v>
      </c>
      <c r="C139" s="26">
        <f>SUM('ÖNK kiadás cofogra'!C630)</f>
        <v>336000</v>
      </c>
      <c r="D139" s="265">
        <f>SUM(C139*6)</f>
        <v>2016000</v>
      </c>
    </row>
    <row r="140" spans="1:6" x14ac:dyDescent="0.25">
      <c r="A140" s="332" t="s">
        <v>10</v>
      </c>
      <c r="B140" s="26">
        <v>168000</v>
      </c>
      <c r="C140" s="26">
        <f>SUM('ÖNK kiadás cofogra'!C631)</f>
        <v>168000</v>
      </c>
      <c r="D140" s="265">
        <f>SUM(C140*6)</f>
        <v>1008000</v>
      </c>
    </row>
    <row r="141" spans="1:6" x14ac:dyDescent="0.25">
      <c r="A141" s="332" t="s">
        <v>1037</v>
      </c>
      <c r="B141" s="26">
        <v>83700</v>
      </c>
      <c r="C141" s="26">
        <f>SUM('ÖNK kiadás cofogra'!C632)</f>
        <v>83700</v>
      </c>
      <c r="D141" s="265">
        <f>SUM(C141*3)</f>
        <v>251100</v>
      </c>
    </row>
    <row r="142" spans="1:6" x14ac:dyDescent="0.25">
      <c r="B142" s="26"/>
      <c r="C142" s="26"/>
      <c r="D142" s="27">
        <f>SUM(D139:D141)</f>
        <v>3275100</v>
      </c>
    </row>
    <row r="143" spans="1:6" s="293" customFormat="1" x14ac:dyDescent="0.25">
      <c r="B143" s="26"/>
      <c r="C143" s="26"/>
      <c r="D143" s="27"/>
    </row>
    <row r="144" spans="1:6" x14ac:dyDescent="0.25">
      <c r="A144" s="19" t="s">
        <v>12</v>
      </c>
      <c r="B144" s="26"/>
      <c r="C144" s="26"/>
      <c r="D144" s="26">
        <f>SUM(D142*0.155)</f>
        <v>507640.5</v>
      </c>
      <c r="F144" s="65">
        <f>D144/D141</f>
        <v>2.0216666666666665</v>
      </c>
    </row>
    <row r="145" spans="1:5" s="256" customFormat="1" x14ac:dyDescent="0.25">
      <c r="B145" s="26"/>
      <c r="C145" s="26"/>
      <c r="D145" s="26"/>
    </row>
    <row r="146" spans="1:5" s="256" customFormat="1" x14ac:dyDescent="0.25">
      <c r="A146" s="22" t="s">
        <v>849</v>
      </c>
      <c r="B146" s="26"/>
      <c r="C146" s="26"/>
      <c r="D146" s="26"/>
    </row>
    <row r="147" spans="1:5" x14ac:dyDescent="0.25">
      <c r="A147" s="674"/>
      <c r="B147" s="26"/>
      <c r="C147" s="47">
        <f>SUM('ÖNK kiadás cofogra'!C634)</f>
        <v>0</v>
      </c>
      <c r="D147" s="33">
        <f>SUM(C147*12)</f>
        <v>0</v>
      </c>
    </row>
    <row r="148" spans="1:5" s="256" customFormat="1" x14ac:dyDescent="0.25">
      <c r="A148" s="262"/>
      <c r="B148" s="26"/>
      <c r="C148" s="47">
        <v>0</v>
      </c>
      <c r="D148" s="33">
        <f t="shared" ref="D148" si="2">SUM(C148*12)</f>
        <v>0</v>
      </c>
    </row>
    <row r="149" spans="1:5" s="256" customFormat="1" x14ac:dyDescent="0.25">
      <c r="A149" s="262"/>
      <c r="B149" s="26"/>
      <c r="C149" s="47"/>
      <c r="D149" s="32">
        <f>SUM(D147:D148)</f>
        <v>0</v>
      </c>
    </row>
    <row r="150" spans="1:5" s="256" customFormat="1" x14ac:dyDescent="0.25">
      <c r="A150" s="262"/>
      <c r="B150" s="26"/>
      <c r="C150" s="47"/>
      <c r="D150" s="32"/>
    </row>
    <row r="151" spans="1:5" s="256" customFormat="1" x14ac:dyDescent="0.25">
      <c r="A151" s="262" t="s">
        <v>14</v>
      </c>
      <c r="B151" s="26"/>
      <c r="C151" s="47"/>
      <c r="D151" s="33">
        <f>SUM(D149*0.155)</f>
        <v>0</v>
      </c>
    </row>
    <row r="152" spans="1:5" s="256" customFormat="1" x14ac:dyDescent="0.25">
      <c r="A152" s="262"/>
      <c r="B152" s="26"/>
      <c r="C152" s="47"/>
      <c r="D152" s="33"/>
    </row>
    <row r="153" spans="1:5" s="256" customFormat="1" x14ac:dyDescent="0.25">
      <c r="A153" s="262" t="s">
        <v>851</v>
      </c>
      <c r="B153" s="26"/>
      <c r="C153" s="47"/>
      <c r="D153" s="33">
        <f>SUM(C154*12)</f>
        <v>0</v>
      </c>
    </row>
    <row r="154" spans="1:5" s="256" customFormat="1" x14ac:dyDescent="0.25">
      <c r="A154" s="332"/>
      <c r="B154" s="26"/>
      <c r="C154" s="47">
        <f>SUM('ÖNK kiadás cofogra'!C636)</f>
        <v>0</v>
      </c>
      <c r="D154" s="33"/>
    </row>
    <row r="155" spans="1:5" s="293" customFormat="1" x14ac:dyDescent="0.25">
      <c r="A155" s="332"/>
      <c r="B155" s="26"/>
      <c r="C155" s="47"/>
      <c r="D155" s="33"/>
    </row>
    <row r="156" spans="1:5" s="256" customFormat="1" x14ac:dyDescent="0.25">
      <c r="A156" s="262" t="s">
        <v>14</v>
      </c>
      <c r="B156" s="26"/>
      <c r="C156" s="47"/>
      <c r="D156" s="33">
        <f>SUM(D153*0.155)</f>
        <v>0</v>
      </c>
    </row>
    <row r="157" spans="1:5" s="256" customFormat="1" ht="15.75" thickBot="1" x14ac:dyDescent="0.3">
      <c r="A157" s="262"/>
      <c r="B157" s="265" t="s">
        <v>852</v>
      </c>
      <c r="C157" s="47">
        <f>SUM('ÖNK kiadás cofogra'!F639)</f>
        <v>3275100</v>
      </c>
      <c r="D157" s="33"/>
    </row>
    <row r="158" spans="1:5" s="256" customFormat="1" ht="15.75" thickBot="1" x14ac:dyDescent="0.3">
      <c r="A158" s="262"/>
      <c r="B158" s="265" t="s">
        <v>853</v>
      </c>
      <c r="C158" s="47">
        <f>SUM('ÖNK kiadás cofogra'!F649)</f>
        <v>425763.13</v>
      </c>
      <c r="D158" s="368">
        <f>SUM(C157:C158)</f>
        <v>3700863.13</v>
      </c>
      <c r="E158" s="331">
        <f>SUM('ÖNK kiadás cofogra'!F639+'ÖNK kiadás cofogra'!F649)</f>
        <v>3700863.13</v>
      </c>
    </row>
    <row r="159" spans="1:5" x14ac:dyDescent="0.25">
      <c r="C159" s="33"/>
      <c r="D159" s="33"/>
    </row>
    <row r="160" spans="1:5" s="293" customFormat="1" x14ac:dyDescent="0.25"/>
    <row r="161" spans="1:7" s="293" customFormat="1" ht="15.75" thickBot="1" x14ac:dyDescent="0.3"/>
    <row r="162" spans="1:7" ht="15.75" thickBot="1" x14ac:dyDescent="0.3">
      <c r="A162" s="683" t="s">
        <v>854</v>
      </c>
      <c r="B162" s="684"/>
      <c r="C162" s="23"/>
      <c r="D162" s="23"/>
    </row>
    <row r="163" spans="1:7" s="293" customFormat="1" x14ac:dyDescent="0.25">
      <c r="A163" s="335"/>
      <c r="B163" s="335"/>
      <c r="C163" s="23"/>
      <c r="D163" s="23"/>
    </row>
    <row r="164" spans="1:7" x14ac:dyDescent="0.25">
      <c r="A164" s="22"/>
      <c r="B164" s="23">
        <v>2021</v>
      </c>
      <c r="C164" s="23">
        <v>2022</v>
      </c>
      <c r="D164" s="319" t="s">
        <v>8</v>
      </c>
    </row>
    <row r="165" spans="1:7" x14ac:dyDescent="0.25">
      <c r="A165" s="262" t="s">
        <v>855</v>
      </c>
      <c r="B165" s="26">
        <v>85000</v>
      </c>
      <c r="C165" s="26">
        <v>100000</v>
      </c>
      <c r="D165" s="26">
        <f>SUM(C165*12)</f>
        <v>1200000</v>
      </c>
    </row>
    <row r="166" spans="1:7" x14ac:dyDescent="0.25">
      <c r="A166" s="674" t="s">
        <v>1336</v>
      </c>
      <c r="B166" s="26">
        <v>85000</v>
      </c>
      <c r="C166" s="26">
        <v>100000</v>
      </c>
      <c r="D166" s="26">
        <f>SUM(C166*12)</f>
        <v>1200000</v>
      </c>
    </row>
    <row r="167" spans="1:7" s="256" customFormat="1" x14ac:dyDescent="0.25">
      <c r="A167" s="262"/>
      <c r="B167" s="26"/>
      <c r="C167" s="26"/>
      <c r="D167" s="27">
        <f>SUM(D165:D166)</f>
        <v>2400000</v>
      </c>
    </row>
    <row r="168" spans="1:7" s="256" customFormat="1" x14ac:dyDescent="0.25">
      <c r="A168" s="262"/>
      <c r="B168" s="26"/>
      <c r="C168" s="26"/>
      <c r="D168" s="26"/>
    </row>
    <row r="169" spans="1:7" x14ac:dyDescent="0.25">
      <c r="A169" s="65" t="s">
        <v>12</v>
      </c>
      <c r="B169" s="26"/>
      <c r="C169" s="26"/>
      <c r="D169" s="27">
        <f>SUM('ÖNK kiadás cofogra'!E219)</f>
        <v>312350</v>
      </c>
      <c r="F169" s="65"/>
    </row>
    <row r="171" spans="1:7" ht="15.75" thickBot="1" x14ac:dyDescent="0.3">
      <c r="B171" s="262" t="s">
        <v>856</v>
      </c>
      <c r="C171" s="26">
        <f>SUM('ÖNK kiadás cofogra'!F218)</f>
        <v>2370000</v>
      </c>
    </row>
    <row r="172" spans="1:7" ht="15.75" thickBot="1" x14ac:dyDescent="0.3">
      <c r="B172" s="262" t="s">
        <v>857</v>
      </c>
      <c r="C172" s="26">
        <f>SUM('ÖNK kiadás cofogra'!F222)</f>
        <v>312350</v>
      </c>
      <c r="D172" s="260">
        <f>SUM(C171:C172)</f>
        <v>2682350</v>
      </c>
      <c r="E172" s="331"/>
    </row>
    <row r="174" spans="1:7" x14ac:dyDescent="0.25">
      <c r="A174" s="336"/>
      <c r="C174" s="346"/>
    </row>
    <row r="176" spans="1:7" ht="15.75" thickBot="1" x14ac:dyDescent="0.3">
      <c r="A176" s="297"/>
      <c r="B176" s="297"/>
      <c r="C176" s="297"/>
      <c r="D176" s="298"/>
      <c r="E176" s="298"/>
      <c r="F176" s="298"/>
      <c r="G176" s="298"/>
    </row>
    <row r="177" spans="1:7" ht="15.75" thickBot="1" x14ac:dyDescent="0.3">
      <c r="A177" s="686" t="s">
        <v>152</v>
      </c>
      <c r="B177" s="687"/>
      <c r="C177" s="310"/>
      <c r="D177" s="310"/>
      <c r="E177" s="310"/>
      <c r="F177" s="310"/>
      <c r="G177" s="310"/>
    </row>
    <row r="178" spans="1:7" x14ac:dyDescent="0.25">
      <c r="A178" s="297"/>
      <c r="B178" s="297"/>
      <c r="C178" s="297"/>
      <c r="D178" s="298"/>
      <c r="E178" s="330"/>
      <c r="F178" s="330"/>
      <c r="G178" s="330"/>
    </row>
    <row r="179" spans="1:7" x14ac:dyDescent="0.25">
      <c r="A179" s="299" t="s">
        <v>153</v>
      </c>
      <c r="B179" s="299"/>
      <c r="C179" s="325"/>
      <c r="D179" s="325">
        <f>SUM('ÖNK kiadás cofogra'!D156)</f>
        <v>80000</v>
      </c>
      <c r="E179" s="325"/>
      <c r="F179" s="325"/>
      <c r="G179" s="327"/>
    </row>
    <row r="180" spans="1:7" s="293" customFormat="1" x14ac:dyDescent="0.25">
      <c r="A180" s="299"/>
      <c r="B180" s="299"/>
      <c r="C180" s="325"/>
      <c r="D180" s="325"/>
      <c r="E180" s="325"/>
      <c r="F180" s="325"/>
      <c r="G180" s="327"/>
    </row>
    <row r="181" spans="1:7" x14ac:dyDescent="0.25">
      <c r="A181" s="299" t="s">
        <v>137</v>
      </c>
      <c r="B181" s="299"/>
      <c r="C181" s="325"/>
      <c r="D181" s="325"/>
      <c r="E181" s="325"/>
      <c r="F181" s="325"/>
      <c r="G181" s="327"/>
    </row>
    <row r="182" spans="1:7" x14ac:dyDescent="0.25">
      <c r="A182" s="300"/>
      <c r="B182" s="300" t="s">
        <v>14</v>
      </c>
      <c r="C182" s="327"/>
      <c r="D182" s="327">
        <f>SUM('ÖNK kiadás cofogra'!D159)</f>
        <v>10400</v>
      </c>
      <c r="E182" s="327"/>
      <c r="F182" s="327"/>
      <c r="G182" s="327"/>
    </row>
    <row r="183" spans="1:7" x14ac:dyDescent="0.25">
      <c r="A183" s="300"/>
      <c r="B183" s="300" t="s">
        <v>13</v>
      </c>
      <c r="C183" s="327"/>
      <c r="D183" s="327">
        <f>SUM('ÖNK kiadás cofogra'!D160)</f>
        <v>12000</v>
      </c>
      <c r="E183" s="327"/>
      <c r="F183" s="327"/>
      <c r="G183" s="327"/>
    </row>
    <row r="184" spans="1:7" x14ac:dyDescent="0.25">
      <c r="C184" s="347"/>
      <c r="D184" s="347">
        <f>SUM(D182:D183)</f>
        <v>22400</v>
      </c>
    </row>
    <row r="185" spans="1:7" ht="15.75" thickBot="1" x14ac:dyDescent="0.3">
      <c r="B185" s="332" t="s">
        <v>1218</v>
      </c>
      <c r="C185" s="347">
        <f>SUM(D179)</f>
        <v>80000</v>
      </c>
      <c r="D185" s="347"/>
    </row>
    <row r="186" spans="1:7" ht="15.75" thickBot="1" x14ac:dyDescent="0.3">
      <c r="B186" s="332" t="s">
        <v>843</v>
      </c>
      <c r="C186" s="347">
        <f>SUM(D184)</f>
        <v>22400</v>
      </c>
      <c r="D186" s="348">
        <f>SUM(C185:C186)</f>
        <v>102400</v>
      </c>
      <c r="E186" s="331"/>
    </row>
    <row r="190" spans="1:7" x14ac:dyDescent="0.25">
      <c r="A190" s="349" t="s">
        <v>2</v>
      </c>
      <c r="B190" s="350">
        <f>SUM(D34+D59+D81+D97+D116+D134+D158+D172+D186)</f>
        <v>72230640.149999991</v>
      </c>
    </row>
  </sheetData>
  <mergeCells count="4">
    <mergeCell ref="A1:E1"/>
    <mergeCell ref="A162:B162"/>
    <mergeCell ref="A136:D136"/>
    <mergeCell ref="A177:B177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B1" sqref="B1"/>
    </sheetView>
  </sheetViews>
  <sheetFormatPr defaultRowHeight="15" x14ac:dyDescent="0.25"/>
  <cols>
    <col min="1" max="1" width="3.42578125" style="77" customWidth="1"/>
    <col min="2" max="2" width="88.28515625" style="77" customWidth="1"/>
    <col min="3" max="3" width="15.28515625" style="77" customWidth="1"/>
    <col min="4" max="4" width="8.7109375" style="77"/>
    <col min="5" max="5" width="15.28515625" style="77" customWidth="1"/>
    <col min="6" max="257" width="8.7109375" style="77"/>
    <col min="258" max="258" width="85.5703125" style="77" customWidth="1"/>
    <col min="259" max="513" width="8.7109375" style="77"/>
    <col min="514" max="514" width="85.5703125" style="77" customWidth="1"/>
    <col min="515" max="769" width="8.7109375" style="77"/>
    <col min="770" max="770" width="85.5703125" style="77" customWidth="1"/>
    <col min="771" max="1025" width="8.7109375" style="77"/>
    <col min="1026" max="1026" width="85.5703125" style="77" customWidth="1"/>
    <col min="1027" max="1281" width="8.7109375" style="77"/>
    <col min="1282" max="1282" width="85.5703125" style="77" customWidth="1"/>
    <col min="1283" max="1537" width="8.7109375" style="77"/>
    <col min="1538" max="1538" width="85.5703125" style="77" customWidth="1"/>
    <col min="1539" max="1793" width="8.7109375" style="77"/>
    <col min="1794" max="1794" width="85.5703125" style="77" customWidth="1"/>
    <col min="1795" max="2049" width="8.7109375" style="77"/>
    <col min="2050" max="2050" width="85.5703125" style="77" customWidth="1"/>
    <col min="2051" max="2305" width="8.7109375" style="77"/>
    <col min="2306" max="2306" width="85.5703125" style="77" customWidth="1"/>
    <col min="2307" max="2561" width="8.7109375" style="77"/>
    <col min="2562" max="2562" width="85.5703125" style="77" customWidth="1"/>
    <col min="2563" max="2817" width="8.7109375" style="77"/>
    <col min="2818" max="2818" width="85.5703125" style="77" customWidth="1"/>
    <col min="2819" max="3073" width="8.7109375" style="77"/>
    <col min="3074" max="3074" width="85.5703125" style="77" customWidth="1"/>
    <col min="3075" max="3329" width="8.7109375" style="77"/>
    <col min="3330" max="3330" width="85.5703125" style="77" customWidth="1"/>
    <col min="3331" max="3585" width="8.7109375" style="77"/>
    <col min="3586" max="3586" width="85.5703125" style="77" customWidth="1"/>
    <col min="3587" max="3841" width="8.7109375" style="77"/>
    <col min="3842" max="3842" width="85.5703125" style="77" customWidth="1"/>
    <col min="3843" max="4097" width="8.7109375" style="77"/>
    <col min="4098" max="4098" width="85.5703125" style="77" customWidth="1"/>
    <col min="4099" max="4353" width="8.7109375" style="77"/>
    <col min="4354" max="4354" width="85.5703125" style="77" customWidth="1"/>
    <col min="4355" max="4609" width="8.7109375" style="77"/>
    <col min="4610" max="4610" width="85.5703125" style="77" customWidth="1"/>
    <col min="4611" max="4865" width="8.7109375" style="77"/>
    <col min="4866" max="4866" width="85.5703125" style="77" customWidth="1"/>
    <col min="4867" max="5121" width="8.7109375" style="77"/>
    <col min="5122" max="5122" width="85.5703125" style="77" customWidth="1"/>
    <col min="5123" max="5377" width="8.7109375" style="77"/>
    <col min="5378" max="5378" width="85.5703125" style="77" customWidth="1"/>
    <col min="5379" max="5633" width="8.7109375" style="77"/>
    <col min="5634" max="5634" width="85.5703125" style="77" customWidth="1"/>
    <col min="5635" max="5889" width="8.7109375" style="77"/>
    <col min="5890" max="5890" width="85.5703125" style="77" customWidth="1"/>
    <col min="5891" max="6145" width="8.7109375" style="77"/>
    <col min="6146" max="6146" width="85.5703125" style="77" customWidth="1"/>
    <col min="6147" max="6401" width="8.7109375" style="77"/>
    <col min="6402" max="6402" width="85.5703125" style="77" customWidth="1"/>
    <col min="6403" max="6657" width="8.7109375" style="77"/>
    <col min="6658" max="6658" width="85.5703125" style="77" customWidth="1"/>
    <col min="6659" max="6913" width="8.7109375" style="77"/>
    <col min="6914" max="6914" width="85.5703125" style="77" customWidth="1"/>
    <col min="6915" max="7169" width="8.7109375" style="77"/>
    <col min="7170" max="7170" width="85.5703125" style="77" customWidth="1"/>
    <col min="7171" max="7425" width="8.7109375" style="77"/>
    <col min="7426" max="7426" width="85.5703125" style="77" customWidth="1"/>
    <col min="7427" max="7681" width="8.7109375" style="77"/>
    <col min="7682" max="7682" width="85.5703125" style="77" customWidth="1"/>
    <col min="7683" max="7937" width="8.7109375" style="77"/>
    <col min="7938" max="7938" width="85.5703125" style="77" customWidth="1"/>
    <col min="7939" max="8193" width="8.7109375" style="77"/>
    <col min="8194" max="8194" width="85.5703125" style="77" customWidth="1"/>
    <col min="8195" max="8449" width="8.7109375" style="77"/>
    <col min="8450" max="8450" width="85.5703125" style="77" customWidth="1"/>
    <col min="8451" max="8705" width="8.7109375" style="77"/>
    <col min="8706" max="8706" width="85.5703125" style="77" customWidth="1"/>
    <col min="8707" max="8961" width="8.7109375" style="77"/>
    <col min="8962" max="8962" width="85.5703125" style="77" customWidth="1"/>
    <col min="8963" max="9217" width="8.7109375" style="77"/>
    <col min="9218" max="9218" width="85.5703125" style="77" customWidth="1"/>
    <col min="9219" max="9473" width="8.7109375" style="77"/>
    <col min="9474" max="9474" width="85.5703125" style="77" customWidth="1"/>
    <col min="9475" max="9729" width="8.7109375" style="77"/>
    <col min="9730" max="9730" width="85.5703125" style="77" customWidth="1"/>
    <col min="9731" max="9985" width="8.7109375" style="77"/>
    <col min="9986" max="9986" width="85.5703125" style="77" customWidth="1"/>
    <col min="9987" max="10241" width="8.7109375" style="77"/>
    <col min="10242" max="10242" width="85.5703125" style="77" customWidth="1"/>
    <col min="10243" max="10497" width="8.7109375" style="77"/>
    <col min="10498" max="10498" width="85.5703125" style="77" customWidth="1"/>
    <col min="10499" max="10753" width="8.7109375" style="77"/>
    <col min="10754" max="10754" width="85.5703125" style="77" customWidth="1"/>
    <col min="10755" max="11009" width="8.7109375" style="77"/>
    <col min="11010" max="11010" width="85.5703125" style="77" customWidth="1"/>
    <col min="11011" max="11265" width="8.7109375" style="77"/>
    <col min="11266" max="11266" width="85.5703125" style="77" customWidth="1"/>
    <col min="11267" max="11521" width="8.7109375" style="77"/>
    <col min="11522" max="11522" width="85.5703125" style="77" customWidth="1"/>
    <col min="11523" max="11777" width="8.7109375" style="77"/>
    <col min="11778" max="11778" width="85.5703125" style="77" customWidth="1"/>
    <col min="11779" max="12033" width="8.7109375" style="77"/>
    <col min="12034" max="12034" width="85.5703125" style="77" customWidth="1"/>
    <col min="12035" max="12289" width="8.7109375" style="77"/>
    <col min="12290" max="12290" width="85.5703125" style="77" customWidth="1"/>
    <col min="12291" max="12545" width="8.7109375" style="77"/>
    <col min="12546" max="12546" width="85.5703125" style="77" customWidth="1"/>
    <col min="12547" max="12801" width="8.7109375" style="77"/>
    <col min="12802" max="12802" width="85.5703125" style="77" customWidth="1"/>
    <col min="12803" max="13057" width="8.7109375" style="77"/>
    <col min="13058" max="13058" width="85.5703125" style="77" customWidth="1"/>
    <col min="13059" max="13313" width="8.7109375" style="77"/>
    <col min="13314" max="13314" width="85.5703125" style="77" customWidth="1"/>
    <col min="13315" max="13569" width="8.7109375" style="77"/>
    <col min="13570" max="13570" width="85.5703125" style="77" customWidth="1"/>
    <col min="13571" max="13825" width="8.7109375" style="77"/>
    <col min="13826" max="13826" width="85.5703125" style="77" customWidth="1"/>
    <col min="13827" max="14081" width="8.7109375" style="77"/>
    <col min="14082" max="14082" width="85.5703125" style="77" customWidth="1"/>
    <col min="14083" max="14337" width="8.7109375" style="77"/>
    <col min="14338" max="14338" width="85.5703125" style="77" customWidth="1"/>
    <col min="14339" max="14593" width="8.7109375" style="77"/>
    <col min="14594" max="14594" width="85.5703125" style="77" customWidth="1"/>
    <col min="14595" max="14849" width="8.7109375" style="77"/>
    <col min="14850" max="14850" width="85.5703125" style="77" customWidth="1"/>
    <col min="14851" max="15105" width="8.7109375" style="77"/>
    <col min="15106" max="15106" width="85.5703125" style="77" customWidth="1"/>
    <col min="15107" max="15361" width="8.7109375" style="77"/>
    <col min="15362" max="15362" width="85.5703125" style="77" customWidth="1"/>
    <col min="15363" max="15617" width="8.7109375" style="77"/>
    <col min="15618" max="15618" width="85.5703125" style="77" customWidth="1"/>
    <col min="15619" max="15873" width="8.7109375" style="77"/>
    <col min="15874" max="15874" width="85.5703125" style="77" customWidth="1"/>
    <col min="15875" max="16129" width="8.7109375" style="77"/>
    <col min="16130" max="16130" width="85.5703125" style="77" customWidth="1"/>
    <col min="16131" max="16384" width="8.7109375" style="77"/>
  </cols>
  <sheetData>
    <row r="1" spans="1:10" x14ac:dyDescent="0.25">
      <c r="A1" s="76" t="s">
        <v>573</v>
      </c>
      <c r="B1" s="679" t="s">
        <v>1304</v>
      </c>
    </row>
    <row r="2" spans="1:10" ht="22.5" customHeight="1" x14ac:dyDescent="0.25">
      <c r="B2" s="784" t="s">
        <v>1399</v>
      </c>
      <c r="C2" s="785"/>
      <c r="D2" s="784"/>
      <c r="E2" s="785"/>
      <c r="F2" s="784"/>
      <c r="G2" s="785"/>
    </row>
    <row r="3" spans="1:10" ht="42" customHeight="1" x14ac:dyDescent="0.25">
      <c r="B3" s="784" t="s">
        <v>574</v>
      </c>
      <c r="C3" s="785"/>
    </row>
    <row r="4" spans="1:10" ht="21.75" customHeight="1" x14ac:dyDescent="0.25">
      <c r="B4" s="784" t="s">
        <v>575</v>
      </c>
      <c r="C4" s="785"/>
    </row>
    <row r="5" spans="1:10" x14ac:dyDescent="0.25">
      <c r="C5" s="129"/>
      <c r="D5" s="129"/>
      <c r="E5" s="129"/>
      <c r="F5" s="129"/>
      <c r="G5" s="129"/>
      <c r="H5" s="129"/>
      <c r="I5" s="129"/>
      <c r="J5" s="129"/>
    </row>
    <row r="6" spans="1:10" x14ac:dyDescent="0.25">
      <c r="B6" s="85" t="s">
        <v>576</v>
      </c>
      <c r="C6" s="130">
        <f>'Kiadások összesen'!F25</f>
        <v>132187799</v>
      </c>
      <c r="D6" s="129"/>
      <c r="E6" s="129"/>
      <c r="F6" s="129"/>
      <c r="G6" s="129"/>
      <c r="H6" s="129"/>
      <c r="I6" s="129"/>
      <c r="J6" s="129"/>
    </row>
    <row r="7" spans="1:10" x14ac:dyDescent="0.25">
      <c r="B7" s="85" t="s">
        <v>577</v>
      </c>
      <c r="C7" s="130">
        <f>'Kiadások összesen'!F26</f>
        <v>17715586.75</v>
      </c>
      <c r="D7" s="129"/>
      <c r="E7" s="129"/>
      <c r="F7" s="129"/>
      <c r="G7" s="129"/>
      <c r="H7" s="129"/>
      <c r="I7" s="129"/>
      <c r="J7" s="129"/>
    </row>
    <row r="8" spans="1:10" x14ac:dyDescent="0.25">
      <c r="B8" s="85" t="s">
        <v>578</v>
      </c>
      <c r="C8" s="130">
        <f>'Kiadások összesen'!F51</f>
        <v>67256070</v>
      </c>
      <c r="D8" s="129"/>
      <c r="E8" s="129"/>
      <c r="F8" s="129"/>
      <c r="G8" s="129"/>
      <c r="H8" s="129"/>
      <c r="I8" s="129"/>
      <c r="J8" s="129"/>
    </row>
    <row r="9" spans="1:10" x14ac:dyDescent="0.25">
      <c r="B9" s="85" t="s">
        <v>579</v>
      </c>
      <c r="C9" s="130">
        <f>'Kiadások összesen'!F60</f>
        <v>2355000</v>
      </c>
      <c r="D9" s="129"/>
      <c r="E9" s="129"/>
      <c r="F9" s="129"/>
      <c r="G9" s="129"/>
      <c r="H9" s="129"/>
      <c r="I9" s="129"/>
      <c r="J9" s="129"/>
    </row>
    <row r="10" spans="1:10" x14ac:dyDescent="0.25">
      <c r="B10" s="85" t="s">
        <v>580</v>
      </c>
      <c r="C10" s="130">
        <f>'Kiadások összesen'!F74</f>
        <v>264898112</v>
      </c>
      <c r="D10" s="129"/>
      <c r="E10" s="129"/>
      <c r="F10" s="129"/>
      <c r="G10" s="129"/>
      <c r="H10" s="129"/>
      <c r="I10" s="129"/>
      <c r="J10" s="129"/>
    </row>
    <row r="11" spans="1:10" x14ac:dyDescent="0.25">
      <c r="B11" s="85" t="s">
        <v>581</v>
      </c>
      <c r="C11" s="130">
        <f>'Kiadások összesen'!F83</f>
        <v>51396</v>
      </c>
      <c r="D11" s="129"/>
      <c r="E11" s="129"/>
      <c r="F11" s="129"/>
      <c r="G11" s="129"/>
      <c r="H11" s="129"/>
      <c r="I11" s="129"/>
      <c r="J11" s="129"/>
    </row>
    <row r="12" spans="1:10" x14ac:dyDescent="0.25">
      <c r="B12" s="85" t="s">
        <v>582</v>
      </c>
      <c r="C12" s="130">
        <f>'Kiadások összesen'!F88</f>
        <v>53534568</v>
      </c>
      <c r="D12" s="129"/>
      <c r="E12" s="129"/>
      <c r="F12" s="129"/>
      <c r="G12" s="129"/>
      <c r="H12" s="129"/>
      <c r="I12" s="129"/>
      <c r="J12" s="129"/>
    </row>
    <row r="13" spans="1:10" x14ac:dyDescent="0.25">
      <c r="B13" s="85" t="s">
        <v>583</v>
      </c>
      <c r="C13" s="130">
        <f>'[5]Kiadások összetolt'!D97</f>
        <v>0</v>
      </c>
      <c r="D13" s="129"/>
      <c r="E13" s="129"/>
      <c r="F13" s="129"/>
      <c r="G13" s="129"/>
      <c r="H13" s="129"/>
      <c r="I13" s="129"/>
      <c r="J13" s="129"/>
    </row>
    <row r="14" spans="1:10" x14ac:dyDescent="0.25">
      <c r="B14" s="131" t="s">
        <v>584</v>
      </c>
      <c r="C14" s="132">
        <f>SUM(C6:C13)</f>
        <v>537998531.75</v>
      </c>
      <c r="D14" s="129"/>
      <c r="E14" s="129"/>
      <c r="F14" s="129"/>
      <c r="G14" s="129"/>
      <c r="H14" s="129"/>
      <c r="I14" s="129"/>
      <c r="J14" s="129"/>
    </row>
    <row r="15" spans="1:10" x14ac:dyDescent="0.25">
      <c r="B15" s="131" t="s">
        <v>585</v>
      </c>
      <c r="C15" s="130">
        <f>'Kiadások összesen'!F122</f>
        <v>82979889.599999994</v>
      </c>
      <c r="D15" s="129"/>
      <c r="E15" s="129"/>
      <c r="F15" s="129"/>
      <c r="G15" s="129"/>
      <c r="H15" s="129"/>
      <c r="I15" s="129"/>
      <c r="J15" s="129"/>
    </row>
    <row r="16" spans="1:10" x14ac:dyDescent="0.25">
      <c r="B16" s="133" t="s">
        <v>400</v>
      </c>
      <c r="C16" s="134">
        <f>C14+C15+1</f>
        <v>620978422.35000002</v>
      </c>
      <c r="D16" s="129"/>
      <c r="E16" s="375"/>
      <c r="F16" s="129"/>
      <c r="G16" s="129"/>
      <c r="H16" s="129"/>
      <c r="I16" s="129"/>
      <c r="J16" s="129"/>
    </row>
    <row r="17" spans="2:10" x14ac:dyDescent="0.25">
      <c r="B17" s="85" t="s">
        <v>586</v>
      </c>
      <c r="C17" s="130">
        <f>SUM('Bevételek összesen'!F19)</f>
        <v>159368865.15557933</v>
      </c>
      <c r="D17" s="129"/>
      <c r="E17" s="129"/>
      <c r="F17" s="129"/>
      <c r="G17" s="129"/>
      <c r="H17" s="129"/>
      <c r="I17" s="129"/>
      <c r="J17" s="129"/>
    </row>
    <row r="18" spans="2:10" x14ac:dyDescent="0.25">
      <c r="B18" s="85" t="s">
        <v>587</v>
      </c>
      <c r="C18" s="130">
        <f>'Bevételek összesen'!F55</f>
        <v>0</v>
      </c>
      <c r="D18" s="129"/>
      <c r="E18" s="129"/>
      <c r="F18" s="129"/>
      <c r="G18" s="129"/>
      <c r="H18" s="129"/>
      <c r="I18" s="129"/>
      <c r="J18" s="129"/>
    </row>
    <row r="19" spans="2:10" x14ac:dyDescent="0.25">
      <c r="B19" s="85" t="s">
        <v>588</v>
      </c>
      <c r="C19" s="130">
        <f>'Bevételek összesen'!F33</f>
        <v>96300000</v>
      </c>
      <c r="D19" s="129"/>
      <c r="E19" s="129"/>
      <c r="F19" s="129"/>
      <c r="G19" s="129"/>
      <c r="H19" s="129"/>
      <c r="I19" s="129"/>
      <c r="J19" s="129"/>
    </row>
    <row r="20" spans="2:10" x14ac:dyDescent="0.25">
      <c r="B20" s="85" t="s">
        <v>589</v>
      </c>
      <c r="C20" s="130">
        <f>'Bevételek összesen'!F44</f>
        <v>20767040</v>
      </c>
      <c r="D20" s="129"/>
      <c r="E20" s="129"/>
      <c r="F20" s="129"/>
      <c r="G20" s="129"/>
      <c r="H20" s="129"/>
      <c r="I20" s="129"/>
      <c r="J20" s="129"/>
    </row>
    <row r="21" spans="2:10" x14ac:dyDescent="0.25">
      <c r="B21" s="85" t="s">
        <v>590</v>
      </c>
      <c r="C21" s="130">
        <f>'Bevételek összesen'!F61</f>
        <v>4488000</v>
      </c>
      <c r="D21" s="129"/>
      <c r="E21" s="129"/>
      <c r="F21" s="129"/>
      <c r="G21" s="129"/>
      <c r="H21" s="129"/>
      <c r="I21" s="129"/>
      <c r="J21" s="129"/>
    </row>
    <row r="22" spans="2:10" x14ac:dyDescent="0.25">
      <c r="B22" s="85" t="s">
        <v>591</v>
      </c>
      <c r="C22" s="130">
        <f>'Bevételek összesen'!F48</f>
        <v>0</v>
      </c>
      <c r="D22" s="129"/>
      <c r="E22" s="129"/>
      <c r="F22" s="129"/>
      <c r="G22" s="129"/>
      <c r="H22" s="129"/>
      <c r="I22" s="129"/>
      <c r="J22" s="129"/>
    </row>
    <row r="23" spans="2:10" x14ac:dyDescent="0.25">
      <c r="B23" s="85" t="s">
        <v>592</v>
      </c>
      <c r="C23" s="130">
        <f>'Bevételek összesen'!F65</f>
        <v>500000</v>
      </c>
      <c r="D23" s="129"/>
      <c r="E23" s="129"/>
      <c r="F23" s="129"/>
      <c r="G23" s="129"/>
      <c r="H23" s="129"/>
      <c r="I23" s="129"/>
      <c r="J23" s="129"/>
    </row>
    <row r="24" spans="2:10" x14ac:dyDescent="0.25">
      <c r="B24" s="131" t="s">
        <v>593</v>
      </c>
      <c r="C24" s="132">
        <f>SUM(C17:C23)</f>
        <v>281423905.15557933</v>
      </c>
      <c r="D24" s="129"/>
      <c r="E24" s="129"/>
      <c r="F24" s="129"/>
      <c r="G24" s="129"/>
      <c r="H24" s="129"/>
      <c r="I24" s="129"/>
      <c r="J24" s="129"/>
    </row>
    <row r="25" spans="2:10" x14ac:dyDescent="0.25">
      <c r="B25" s="131" t="s">
        <v>594</v>
      </c>
      <c r="C25" s="130">
        <f>'Bevételek összesen'!F96</f>
        <v>339554516.60000002</v>
      </c>
      <c r="D25" s="129"/>
      <c r="E25" s="129"/>
      <c r="F25" s="129"/>
      <c r="G25" s="129"/>
      <c r="H25" s="129"/>
      <c r="I25" s="129"/>
      <c r="J25" s="129"/>
    </row>
    <row r="26" spans="2:10" x14ac:dyDescent="0.25">
      <c r="B26" s="133" t="s">
        <v>572</v>
      </c>
      <c r="C26" s="134">
        <f>C24+C25</f>
        <v>620978421.75557935</v>
      </c>
      <c r="D26" s="129"/>
      <c r="E26" s="375"/>
      <c r="F26" s="129"/>
      <c r="G26" s="129"/>
      <c r="H26" s="129"/>
      <c r="I26" s="129"/>
      <c r="J26" s="129"/>
    </row>
    <row r="27" spans="2:10" x14ac:dyDescent="0.25">
      <c r="B27" s="129"/>
      <c r="C27" s="129"/>
      <c r="D27" s="129"/>
      <c r="E27" s="129"/>
      <c r="F27" s="129"/>
      <c r="G27" s="129"/>
      <c r="H27" s="129"/>
      <c r="I27" s="129"/>
      <c r="J27" s="129"/>
    </row>
    <row r="28" spans="2:10" x14ac:dyDescent="0.25">
      <c r="B28" s="129"/>
      <c r="C28" s="129"/>
      <c r="D28" s="129"/>
      <c r="E28" s="129"/>
      <c r="F28" s="129"/>
      <c r="G28" s="129"/>
      <c r="H28" s="129"/>
      <c r="I28" s="129"/>
      <c r="J28" s="129"/>
    </row>
    <row r="29" spans="2:10" x14ac:dyDescent="0.25">
      <c r="B29" s="129"/>
      <c r="C29" s="129"/>
      <c r="D29" s="129"/>
      <c r="E29" s="515"/>
      <c r="F29" s="129"/>
      <c r="G29" s="129"/>
      <c r="H29" s="129"/>
      <c r="I29" s="129"/>
      <c r="J29" s="129"/>
    </row>
    <row r="30" spans="2:10" x14ac:dyDescent="0.25">
      <c r="B30" s="129"/>
      <c r="C30" s="129"/>
      <c r="D30" s="129"/>
      <c r="E30" s="129"/>
      <c r="F30" s="129"/>
      <c r="G30" s="129"/>
      <c r="H30" s="129"/>
      <c r="I30" s="129"/>
      <c r="J30" s="129"/>
    </row>
    <row r="31" spans="2:10" x14ac:dyDescent="0.25">
      <c r="B31" s="129"/>
      <c r="C31" s="129"/>
      <c r="D31" s="129"/>
      <c r="E31" s="129"/>
      <c r="F31" s="129"/>
      <c r="G31" s="129"/>
      <c r="H31" s="129"/>
      <c r="I31" s="129"/>
      <c r="J31" s="129"/>
    </row>
    <row r="32" spans="2:10" x14ac:dyDescent="0.25">
      <c r="B32" s="129"/>
      <c r="C32" s="129"/>
      <c r="D32" s="129"/>
      <c r="E32" s="129"/>
      <c r="F32" s="129"/>
      <c r="G32" s="129"/>
      <c r="H32" s="129"/>
      <c r="I32" s="129"/>
      <c r="J32" s="129"/>
    </row>
    <row r="33" spans="2:10" x14ac:dyDescent="0.25">
      <c r="B33" s="129"/>
      <c r="C33" s="129"/>
      <c r="D33" s="129"/>
      <c r="E33" s="129"/>
      <c r="F33" s="129"/>
      <c r="G33" s="129"/>
      <c r="H33" s="129"/>
      <c r="I33" s="129"/>
      <c r="J33" s="129"/>
    </row>
  </sheetData>
  <mergeCells count="5">
    <mergeCell ref="B2:C2"/>
    <mergeCell ref="D2:E2"/>
    <mergeCell ref="F2:G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zoomScaleNormal="100" workbookViewId="0">
      <selection activeCell="B1" sqref="B1"/>
    </sheetView>
  </sheetViews>
  <sheetFormatPr defaultRowHeight="15" x14ac:dyDescent="0.25"/>
  <cols>
    <col min="1" max="1" width="2.5703125" style="77" customWidth="1"/>
    <col min="2" max="2" width="74.140625" style="77" customWidth="1"/>
    <col min="3" max="3" width="8.7109375" style="77"/>
    <col min="4" max="4" width="17.140625" style="77" customWidth="1"/>
    <col min="5" max="5" width="15.42578125" style="77" customWidth="1"/>
    <col min="6" max="6" width="15.5703125" style="77" customWidth="1"/>
    <col min="7" max="256" width="8.7109375" style="77"/>
    <col min="257" max="257" width="105.140625" style="77" customWidth="1"/>
    <col min="258" max="258" width="8.7109375" style="77"/>
    <col min="259" max="259" width="17.140625" style="77" customWidth="1"/>
    <col min="260" max="260" width="20.140625" style="77" customWidth="1"/>
    <col min="261" max="261" width="18.85546875" style="77" customWidth="1"/>
    <col min="262" max="262" width="15.5703125" style="77" customWidth="1"/>
    <col min="263" max="512" width="8.7109375" style="77"/>
    <col min="513" max="513" width="105.140625" style="77" customWidth="1"/>
    <col min="514" max="514" width="8.7109375" style="77"/>
    <col min="515" max="515" width="17.140625" style="77" customWidth="1"/>
    <col min="516" max="516" width="20.140625" style="77" customWidth="1"/>
    <col min="517" max="517" width="18.85546875" style="77" customWidth="1"/>
    <col min="518" max="518" width="15.5703125" style="77" customWidth="1"/>
    <col min="519" max="768" width="8.7109375" style="77"/>
    <col min="769" max="769" width="105.140625" style="77" customWidth="1"/>
    <col min="770" max="770" width="8.7109375" style="77"/>
    <col min="771" max="771" width="17.140625" style="77" customWidth="1"/>
    <col min="772" max="772" width="20.140625" style="77" customWidth="1"/>
    <col min="773" max="773" width="18.85546875" style="77" customWidth="1"/>
    <col min="774" max="774" width="15.5703125" style="77" customWidth="1"/>
    <col min="775" max="1024" width="8.7109375" style="77"/>
    <col min="1025" max="1025" width="105.140625" style="77" customWidth="1"/>
    <col min="1026" max="1026" width="8.7109375" style="77"/>
    <col min="1027" max="1027" width="17.140625" style="77" customWidth="1"/>
    <col min="1028" max="1028" width="20.140625" style="77" customWidth="1"/>
    <col min="1029" max="1029" width="18.85546875" style="77" customWidth="1"/>
    <col min="1030" max="1030" width="15.5703125" style="77" customWidth="1"/>
    <col min="1031" max="1280" width="8.7109375" style="77"/>
    <col min="1281" max="1281" width="105.140625" style="77" customWidth="1"/>
    <col min="1282" max="1282" width="8.7109375" style="77"/>
    <col min="1283" max="1283" width="17.140625" style="77" customWidth="1"/>
    <col min="1284" max="1284" width="20.140625" style="77" customWidth="1"/>
    <col min="1285" max="1285" width="18.85546875" style="77" customWidth="1"/>
    <col min="1286" max="1286" width="15.5703125" style="77" customWidth="1"/>
    <col min="1287" max="1536" width="8.7109375" style="77"/>
    <col min="1537" max="1537" width="105.140625" style="77" customWidth="1"/>
    <col min="1538" max="1538" width="8.7109375" style="77"/>
    <col min="1539" max="1539" width="17.140625" style="77" customWidth="1"/>
    <col min="1540" max="1540" width="20.140625" style="77" customWidth="1"/>
    <col min="1541" max="1541" width="18.85546875" style="77" customWidth="1"/>
    <col min="1542" max="1542" width="15.5703125" style="77" customWidth="1"/>
    <col min="1543" max="1792" width="8.7109375" style="77"/>
    <col min="1793" max="1793" width="105.140625" style="77" customWidth="1"/>
    <col min="1794" max="1794" width="8.7109375" style="77"/>
    <col min="1795" max="1795" width="17.140625" style="77" customWidth="1"/>
    <col min="1796" max="1796" width="20.140625" style="77" customWidth="1"/>
    <col min="1797" max="1797" width="18.85546875" style="77" customWidth="1"/>
    <col min="1798" max="1798" width="15.5703125" style="77" customWidth="1"/>
    <col min="1799" max="2048" width="8.7109375" style="77"/>
    <col min="2049" max="2049" width="105.140625" style="77" customWidth="1"/>
    <col min="2050" max="2050" width="8.7109375" style="77"/>
    <col min="2051" max="2051" width="17.140625" style="77" customWidth="1"/>
    <col min="2052" max="2052" width="20.140625" style="77" customWidth="1"/>
    <col min="2053" max="2053" width="18.85546875" style="77" customWidth="1"/>
    <col min="2054" max="2054" width="15.5703125" style="77" customWidth="1"/>
    <col min="2055" max="2304" width="8.7109375" style="77"/>
    <col min="2305" max="2305" width="105.140625" style="77" customWidth="1"/>
    <col min="2306" max="2306" width="8.7109375" style="77"/>
    <col min="2307" max="2307" width="17.140625" style="77" customWidth="1"/>
    <col min="2308" max="2308" width="20.140625" style="77" customWidth="1"/>
    <col min="2309" max="2309" width="18.85546875" style="77" customWidth="1"/>
    <col min="2310" max="2310" width="15.5703125" style="77" customWidth="1"/>
    <col min="2311" max="2560" width="8.7109375" style="77"/>
    <col min="2561" max="2561" width="105.140625" style="77" customWidth="1"/>
    <col min="2562" max="2562" width="8.7109375" style="77"/>
    <col min="2563" max="2563" width="17.140625" style="77" customWidth="1"/>
    <col min="2564" max="2564" width="20.140625" style="77" customWidth="1"/>
    <col min="2565" max="2565" width="18.85546875" style="77" customWidth="1"/>
    <col min="2566" max="2566" width="15.5703125" style="77" customWidth="1"/>
    <col min="2567" max="2816" width="8.7109375" style="77"/>
    <col min="2817" max="2817" width="105.140625" style="77" customWidth="1"/>
    <col min="2818" max="2818" width="8.7109375" style="77"/>
    <col min="2819" max="2819" width="17.140625" style="77" customWidth="1"/>
    <col min="2820" max="2820" width="20.140625" style="77" customWidth="1"/>
    <col min="2821" max="2821" width="18.85546875" style="77" customWidth="1"/>
    <col min="2822" max="2822" width="15.5703125" style="77" customWidth="1"/>
    <col min="2823" max="3072" width="8.7109375" style="77"/>
    <col min="3073" max="3073" width="105.140625" style="77" customWidth="1"/>
    <col min="3074" max="3074" width="8.7109375" style="77"/>
    <col min="3075" max="3075" width="17.140625" style="77" customWidth="1"/>
    <col min="3076" max="3076" width="20.140625" style="77" customWidth="1"/>
    <col min="3077" max="3077" width="18.85546875" style="77" customWidth="1"/>
    <col min="3078" max="3078" width="15.5703125" style="77" customWidth="1"/>
    <col min="3079" max="3328" width="8.7109375" style="77"/>
    <col min="3329" max="3329" width="105.140625" style="77" customWidth="1"/>
    <col min="3330" max="3330" width="8.7109375" style="77"/>
    <col min="3331" max="3331" width="17.140625" style="77" customWidth="1"/>
    <col min="3332" max="3332" width="20.140625" style="77" customWidth="1"/>
    <col min="3333" max="3333" width="18.85546875" style="77" customWidth="1"/>
    <col min="3334" max="3334" width="15.5703125" style="77" customWidth="1"/>
    <col min="3335" max="3584" width="8.7109375" style="77"/>
    <col min="3585" max="3585" width="105.140625" style="77" customWidth="1"/>
    <col min="3586" max="3586" width="8.7109375" style="77"/>
    <col min="3587" max="3587" width="17.140625" style="77" customWidth="1"/>
    <col min="3588" max="3588" width="20.140625" style="77" customWidth="1"/>
    <col min="3589" max="3589" width="18.85546875" style="77" customWidth="1"/>
    <col min="3590" max="3590" width="15.5703125" style="77" customWidth="1"/>
    <col min="3591" max="3840" width="8.7109375" style="77"/>
    <col min="3841" max="3841" width="105.140625" style="77" customWidth="1"/>
    <col min="3842" max="3842" width="8.7109375" style="77"/>
    <col min="3843" max="3843" width="17.140625" style="77" customWidth="1"/>
    <col min="3844" max="3844" width="20.140625" style="77" customWidth="1"/>
    <col min="3845" max="3845" width="18.85546875" style="77" customWidth="1"/>
    <col min="3846" max="3846" width="15.5703125" style="77" customWidth="1"/>
    <col min="3847" max="4096" width="8.7109375" style="77"/>
    <col min="4097" max="4097" width="105.140625" style="77" customWidth="1"/>
    <col min="4098" max="4098" width="8.7109375" style="77"/>
    <col min="4099" max="4099" width="17.140625" style="77" customWidth="1"/>
    <col min="4100" max="4100" width="20.140625" style="77" customWidth="1"/>
    <col min="4101" max="4101" width="18.85546875" style="77" customWidth="1"/>
    <col min="4102" max="4102" width="15.5703125" style="77" customWidth="1"/>
    <col min="4103" max="4352" width="8.7109375" style="77"/>
    <col min="4353" max="4353" width="105.140625" style="77" customWidth="1"/>
    <col min="4354" max="4354" width="8.7109375" style="77"/>
    <col min="4355" max="4355" width="17.140625" style="77" customWidth="1"/>
    <col min="4356" max="4356" width="20.140625" style="77" customWidth="1"/>
    <col min="4357" max="4357" width="18.85546875" style="77" customWidth="1"/>
    <col min="4358" max="4358" width="15.5703125" style="77" customWidth="1"/>
    <col min="4359" max="4608" width="8.7109375" style="77"/>
    <col min="4609" max="4609" width="105.140625" style="77" customWidth="1"/>
    <col min="4610" max="4610" width="8.7109375" style="77"/>
    <col min="4611" max="4611" width="17.140625" style="77" customWidth="1"/>
    <col min="4612" max="4612" width="20.140625" style="77" customWidth="1"/>
    <col min="4613" max="4613" width="18.85546875" style="77" customWidth="1"/>
    <col min="4614" max="4614" width="15.5703125" style="77" customWidth="1"/>
    <col min="4615" max="4864" width="8.7109375" style="77"/>
    <col min="4865" max="4865" width="105.140625" style="77" customWidth="1"/>
    <col min="4866" max="4866" width="8.7109375" style="77"/>
    <col min="4867" max="4867" width="17.140625" style="77" customWidth="1"/>
    <col min="4868" max="4868" width="20.140625" style="77" customWidth="1"/>
    <col min="4869" max="4869" width="18.85546875" style="77" customWidth="1"/>
    <col min="4870" max="4870" width="15.5703125" style="77" customWidth="1"/>
    <col min="4871" max="5120" width="8.7109375" style="77"/>
    <col min="5121" max="5121" width="105.140625" style="77" customWidth="1"/>
    <col min="5122" max="5122" width="8.7109375" style="77"/>
    <col min="5123" max="5123" width="17.140625" style="77" customWidth="1"/>
    <col min="5124" max="5124" width="20.140625" style="77" customWidth="1"/>
    <col min="5125" max="5125" width="18.85546875" style="77" customWidth="1"/>
    <col min="5126" max="5126" width="15.5703125" style="77" customWidth="1"/>
    <col min="5127" max="5376" width="8.7109375" style="77"/>
    <col min="5377" max="5377" width="105.140625" style="77" customWidth="1"/>
    <col min="5378" max="5378" width="8.7109375" style="77"/>
    <col min="5379" max="5379" width="17.140625" style="77" customWidth="1"/>
    <col min="5380" max="5380" width="20.140625" style="77" customWidth="1"/>
    <col min="5381" max="5381" width="18.85546875" style="77" customWidth="1"/>
    <col min="5382" max="5382" width="15.5703125" style="77" customWidth="1"/>
    <col min="5383" max="5632" width="8.7109375" style="77"/>
    <col min="5633" max="5633" width="105.140625" style="77" customWidth="1"/>
    <col min="5634" max="5634" width="8.7109375" style="77"/>
    <col min="5635" max="5635" width="17.140625" style="77" customWidth="1"/>
    <col min="5636" max="5636" width="20.140625" style="77" customWidth="1"/>
    <col min="5637" max="5637" width="18.85546875" style="77" customWidth="1"/>
    <col min="5638" max="5638" width="15.5703125" style="77" customWidth="1"/>
    <col min="5639" max="5888" width="8.7109375" style="77"/>
    <col min="5889" max="5889" width="105.140625" style="77" customWidth="1"/>
    <col min="5890" max="5890" width="8.7109375" style="77"/>
    <col min="5891" max="5891" width="17.140625" style="77" customWidth="1"/>
    <col min="5892" max="5892" width="20.140625" style="77" customWidth="1"/>
    <col min="5893" max="5893" width="18.85546875" style="77" customWidth="1"/>
    <col min="5894" max="5894" width="15.5703125" style="77" customWidth="1"/>
    <col min="5895" max="6144" width="8.7109375" style="77"/>
    <col min="6145" max="6145" width="105.140625" style="77" customWidth="1"/>
    <col min="6146" max="6146" width="8.7109375" style="77"/>
    <col min="6147" max="6147" width="17.140625" style="77" customWidth="1"/>
    <col min="6148" max="6148" width="20.140625" style="77" customWidth="1"/>
    <col min="6149" max="6149" width="18.85546875" style="77" customWidth="1"/>
    <col min="6150" max="6150" width="15.5703125" style="77" customWidth="1"/>
    <col min="6151" max="6400" width="8.7109375" style="77"/>
    <col min="6401" max="6401" width="105.140625" style="77" customWidth="1"/>
    <col min="6402" max="6402" width="8.7109375" style="77"/>
    <col min="6403" max="6403" width="17.140625" style="77" customWidth="1"/>
    <col min="6404" max="6404" width="20.140625" style="77" customWidth="1"/>
    <col min="6405" max="6405" width="18.85546875" style="77" customWidth="1"/>
    <col min="6406" max="6406" width="15.5703125" style="77" customWidth="1"/>
    <col min="6407" max="6656" width="8.7109375" style="77"/>
    <col min="6657" max="6657" width="105.140625" style="77" customWidth="1"/>
    <col min="6658" max="6658" width="8.7109375" style="77"/>
    <col min="6659" max="6659" width="17.140625" style="77" customWidth="1"/>
    <col min="6660" max="6660" width="20.140625" style="77" customWidth="1"/>
    <col min="6661" max="6661" width="18.85546875" style="77" customWidth="1"/>
    <col min="6662" max="6662" width="15.5703125" style="77" customWidth="1"/>
    <col min="6663" max="6912" width="8.7109375" style="77"/>
    <col min="6913" max="6913" width="105.140625" style="77" customWidth="1"/>
    <col min="6914" max="6914" width="8.7109375" style="77"/>
    <col min="6915" max="6915" width="17.140625" style="77" customWidth="1"/>
    <col min="6916" max="6916" width="20.140625" style="77" customWidth="1"/>
    <col min="6917" max="6917" width="18.85546875" style="77" customWidth="1"/>
    <col min="6918" max="6918" width="15.5703125" style="77" customWidth="1"/>
    <col min="6919" max="7168" width="8.7109375" style="77"/>
    <col min="7169" max="7169" width="105.140625" style="77" customWidth="1"/>
    <col min="7170" max="7170" width="8.7109375" style="77"/>
    <col min="7171" max="7171" width="17.140625" style="77" customWidth="1"/>
    <col min="7172" max="7172" width="20.140625" style="77" customWidth="1"/>
    <col min="7173" max="7173" width="18.85546875" style="77" customWidth="1"/>
    <col min="7174" max="7174" width="15.5703125" style="77" customWidth="1"/>
    <col min="7175" max="7424" width="8.7109375" style="77"/>
    <col min="7425" max="7425" width="105.140625" style="77" customWidth="1"/>
    <col min="7426" max="7426" width="8.7109375" style="77"/>
    <col min="7427" max="7427" width="17.140625" style="77" customWidth="1"/>
    <col min="7428" max="7428" width="20.140625" style="77" customWidth="1"/>
    <col min="7429" max="7429" width="18.85546875" style="77" customWidth="1"/>
    <col min="7430" max="7430" width="15.5703125" style="77" customWidth="1"/>
    <col min="7431" max="7680" width="8.7109375" style="77"/>
    <col min="7681" max="7681" width="105.140625" style="77" customWidth="1"/>
    <col min="7682" max="7682" width="8.7109375" style="77"/>
    <col min="7683" max="7683" width="17.140625" style="77" customWidth="1"/>
    <col min="7684" max="7684" width="20.140625" style="77" customWidth="1"/>
    <col min="7685" max="7685" width="18.85546875" style="77" customWidth="1"/>
    <col min="7686" max="7686" width="15.5703125" style="77" customWidth="1"/>
    <col min="7687" max="7936" width="8.7109375" style="77"/>
    <col min="7937" max="7937" width="105.140625" style="77" customWidth="1"/>
    <col min="7938" max="7938" width="8.7109375" style="77"/>
    <col min="7939" max="7939" width="17.140625" style="77" customWidth="1"/>
    <col min="7940" max="7940" width="20.140625" style="77" customWidth="1"/>
    <col min="7941" max="7941" width="18.85546875" style="77" customWidth="1"/>
    <col min="7942" max="7942" width="15.5703125" style="77" customWidth="1"/>
    <col min="7943" max="8192" width="8.7109375" style="77"/>
    <col min="8193" max="8193" width="105.140625" style="77" customWidth="1"/>
    <col min="8194" max="8194" width="8.7109375" style="77"/>
    <col min="8195" max="8195" width="17.140625" style="77" customWidth="1"/>
    <col min="8196" max="8196" width="20.140625" style="77" customWidth="1"/>
    <col min="8197" max="8197" width="18.85546875" style="77" customWidth="1"/>
    <col min="8198" max="8198" width="15.5703125" style="77" customWidth="1"/>
    <col min="8199" max="8448" width="8.7109375" style="77"/>
    <col min="8449" max="8449" width="105.140625" style="77" customWidth="1"/>
    <col min="8450" max="8450" width="8.7109375" style="77"/>
    <col min="8451" max="8451" width="17.140625" style="77" customWidth="1"/>
    <col min="8452" max="8452" width="20.140625" style="77" customWidth="1"/>
    <col min="8453" max="8453" width="18.85546875" style="77" customWidth="1"/>
    <col min="8454" max="8454" width="15.5703125" style="77" customWidth="1"/>
    <col min="8455" max="8704" width="8.7109375" style="77"/>
    <col min="8705" max="8705" width="105.140625" style="77" customWidth="1"/>
    <col min="8706" max="8706" width="8.7109375" style="77"/>
    <col min="8707" max="8707" width="17.140625" style="77" customWidth="1"/>
    <col min="8708" max="8708" width="20.140625" style="77" customWidth="1"/>
    <col min="8709" max="8709" width="18.85546875" style="77" customWidth="1"/>
    <col min="8710" max="8710" width="15.5703125" style="77" customWidth="1"/>
    <col min="8711" max="8960" width="8.7109375" style="77"/>
    <col min="8961" max="8961" width="105.140625" style="77" customWidth="1"/>
    <col min="8962" max="8962" width="8.7109375" style="77"/>
    <col min="8963" max="8963" width="17.140625" style="77" customWidth="1"/>
    <col min="8964" max="8964" width="20.140625" style="77" customWidth="1"/>
    <col min="8965" max="8965" width="18.85546875" style="77" customWidth="1"/>
    <col min="8966" max="8966" width="15.5703125" style="77" customWidth="1"/>
    <col min="8967" max="9216" width="8.7109375" style="77"/>
    <col min="9217" max="9217" width="105.140625" style="77" customWidth="1"/>
    <col min="9218" max="9218" width="8.7109375" style="77"/>
    <col min="9219" max="9219" width="17.140625" style="77" customWidth="1"/>
    <col min="9220" max="9220" width="20.140625" style="77" customWidth="1"/>
    <col min="9221" max="9221" width="18.85546875" style="77" customWidth="1"/>
    <col min="9222" max="9222" width="15.5703125" style="77" customWidth="1"/>
    <col min="9223" max="9472" width="8.7109375" style="77"/>
    <col min="9473" max="9473" width="105.140625" style="77" customWidth="1"/>
    <col min="9474" max="9474" width="8.7109375" style="77"/>
    <col min="9475" max="9475" width="17.140625" style="77" customWidth="1"/>
    <col min="9476" max="9476" width="20.140625" style="77" customWidth="1"/>
    <col min="9477" max="9477" width="18.85546875" style="77" customWidth="1"/>
    <col min="9478" max="9478" width="15.5703125" style="77" customWidth="1"/>
    <col min="9479" max="9728" width="8.7109375" style="77"/>
    <col min="9729" max="9729" width="105.140625" style="77" customWidth="1"/>
    <col min="9730" max="9730" width="8.7109375" style="77"/>
    <col min="9731" max="9731" width="17.140625" style="77" customWidth="1"/>
    <col min="9732" max="9732" width="20.140625" style="77" customWidth="1"/>
    <col min="9733" max="9733" width="18.85546875" style="77" customWidth="1"/>
    <col min="9734" max="9734" width="15.5703125" style="77" customWidth="1"/>
    <col min="9735" max="9984" width="8.7109375" style="77"/>
    <col min="9985" max="9985" width="105.140625" style="77" customWidth="1"/>
    <col min="9986" max="9986" width="8.7109375" style="77"/>
    <col min="9987" max="9987" width="17.140625" style="77" customWidth="1"/>
    <col min="9988" max="9988" width="20.140625" style="77" customWidth="1"/>
    <col min="9989" max="9989" width="18.85546875" style="77" customWidth="1"/>
    <col min="9990" max="9990" width="15.5703125" style="77" customWidth="1"/>
    <col min="9991" max="10240" width="8.7109375" style="77"/>
    <col min="10241" max="10241" width="105.140625" style="77" customWidth="1"/>
    <col min="10242" max="10242" width="8.7109375" style="77"/>
    <col min="10243" max="10243" width="17.140625" style="77" customWidth="1"/>
    <col min="10244" max="10244" width="20.140625" style="77" customWidth="1"/>
    <col min="10245" max="10245" width="18.85546875" style="77" customWidth="1"/>
    <col min="10246" max="10246" width="15.5703125" style="77" customWidth="1"/>
    <col min="10247" max="10496" width="8.7109375" style="77"/>
    <col min="10497" max="10497" width="105.140625" style="77" customWidth="1"/>
    <col min="10498" max="10498" width="8.7109375" style="77"/>
    <col min="10499" max="10499" width="17.140625" style="77" customWidth="1"/>
    <col min="10500" max="10500" width="20.140625" style="77" customWidth="1"/>
    <col min="10501" max="10501" width="18.85546875" style="77" customWidth="1"/>
    <col min="10502" max="10502" width="15.5703125" style="77" customWidth="1"/>
    <col min="10503" max="10752" width="8.7109375" style="77"/>
    <col min="10753" max="10753" width="105.140625" style="77" customWidth="1"/>
    <col min="10754" max="10754" width="8.7109375" style="77"/>
    <col min="10755" max="10755" width="17.140625" style="77" customWidth="1"/>
    <col min="10756" max="10756" width="20.140625" style="77" customWidth="1"/>
    <col min="10757" max="10757" width="18.85546875" style="77" customWidth="1"/>
    <col min="10758" max="10758" width="15.5703125" style="77" customWidth="1"/>
    <col min="10759" max="11008" width="8.7109375" style="77"/>
    <col min="11009" max="11009" width="105.140625" style="77" customWidth="1"/>
    <col min="11010" max="11010" width="8.7109375" style="77"/>
    <col min="11011" max="11011" width="17.140625" style="77" customWidth="1"/>
    <col min="11012" max="11012" width="20.140625" style="77" customWidth="1"/>
    <col min="11013" max="11013" width="18.85546875" style="77" customWidth="1"/>
    <col min="11014" max="11014" width="15.5703125" style="77" customWidth="1"/>
    <col min="11015" max="11264" width="8.7109375" style="77"/>
    <col min="11265" max="11265" width="105.140625" style="77" customWidth="1"/>
    <col min="11266" max="11266" width="8.7109375" style="77"/>
    <col min="11267" max="11267" width="17.140625" style="77" customWidth="1"/>
    <col min="11268" max="11268" width="20.140625" style="77" customWidth="1"/>
    <col min="11269" max="11269" width="18.85546875" style="77" customWidth="1"/>
    <col min="11270" max="11270" width="15.5703125" style="77" customWidth="1"/>
    <col min="11271" max="11520" width="8.7109375" style="77"/>
    <col min="11521" max="11521" width="105.140625" style="77" customWidth="1"/>
    <col min="11522" max="11522" width="8.7109375" style="77"/>
    <col min="11523" max="11523" width="17.140625" style="77" customWidth="1"/>
    <col min="11524" max="11524" width="20.140625" style="77" customWidth="1"/>
    <col min="11525" max="11525" width="18.85546875" style="77" customWidth="1"/>
    <col min="11526" max="11526" width="15.5703125" style="77" customWidth="1"/>
    <col min="11527" max="11776" width="8.7109375" style="77"/>
    <col min="11777" max="11777" width="105.140625" style="77" customWidth="1"/>
    <col min="11778" max="11778" width="8.7109375" style="77"/>
    <col min="11779" max="11779" width="17.140625" style="77" customWidth="1"/>
    <col min="11780" max="11780" width="20.140625" style="77" customWidth="1"/>
    <col min="11781" max="11781" width="18.85546875" style="77" customWidth="1"/>
    <col min="11782" max="11782" width="15.5703125" style="77" customWidth="1"/>
    <col min="11783" max="12032" width="8.7109375" style="77"/>
    <col min="12033" max="12033" width="105.140625" style="77" customWidth="1"/>
    <col min="12034" max="12034" width="8.7109375" style="77"/>
    <col min="12035" max="12035" width="17.140625" style="77" customWidth="1"/>
    <col min="12036" max="12036" width="20.140625" style="77" customWidth="1"/>
    <col min="12037" max="12037" width="18.85546875" style="77" customWidth="1"/>
    <col min="12038" max="12038" width="15.5703125" style="77" customWidth="1"/>
    <col min="12039" max="12288" width="8.7109375" style="77"/>
    <col min="12289" max="12289" width="105.140625" style="77" customWidth="1"/>
    <col min="12290" max="12290" width="8.7109375" style="77"/>
    <col min="12291" max="12291" width="17.140625" style="77" customWidth="1"/>
    <col min="12292" max="12292" width="20.140625" style="77" customWidth="1"/>
    <col min="12293" max="12293" width="18.85546875" style="77" customWidth="1"/>
    <col min="12294" max="12294" width="15.5703125" style="77" customWidth="1"/>
    <col min="12295" max="12544" width="8.7109375" style="77"/>
    <col min="12545" max="12545" width="105.140625" style="77" customWidth="1"/>
    <col min="12546" max="12546" width="8.7109375" style="77"/>
    <col min="12547" max="12547" width="17.140625" style="77" customWidth="1"/>
    <col min="12548" max="12548" width="20.140625" style="77" customWidth="1"/>
    <col min="12549" max="12549" width="18.85546875" style="77" customWidth="1"/>
    <col min="12550" max="12550" width="15.5703125" style="77" customWidth="1"/>
    <col min="12551" max="12800" width="8.7109375" style="77"/>
    <col min="12801" max="12801" width="105.140625" style="77" customWidth="1"/>
    <col min="12802" max="12802" width="8.7109375" style="77"/>
    <col min="12803" max="12803" width="17.140625" style="77" customWidth="1"/>
    <col min="12804" max="12804" width="20.140625" style="77" customWidth="1"/>
    <col min="12805" max="12805" width="18.85546875" style="77" customWidth="1"/>
    <col min="12806" max="12806" width="15.5703125" style="77" customWidth="1"/>
    <col min="12807" max="13056" width="8.7109375" style="77"/>
    <col min="13057" max="13057" width="105.140625" style="77" customWidth="1"/>
    <col min="13058" max="13058" width="8.7109375" style="77"/>
    <col min="13059" max="13059" width="17.140625" style="77" customWidth="1"/>
    <col min="13060" max="13060" width="20.140625" style="77" customWidth="1"/>
    <col min="13061" max="13061" width="18.85546875" style="77" customWidth="1"/>
    <col min="13062" max="13062" width="15.5703125" style="77" customWidth="1"/>
    <col min="13063" max="13312" width="8.7109375" style="77"/>
    <col min="13313" max="13313" width="105.140625" style="77" customWidth="1"/>
    <col min="13314" max="13314" width="8.7109375" style="77"/>
    <col min="13315" max="13315" width="17.140625" style="77" customWidth="1"/>
    <col min="13316" max="13316" width="20.140625" style="77" customWidth="1"/>
    <col min="13317" max="13317" width="18.85546875" style="77" customWidth="1"/>
    <col min="13318" max="13318" width="15.5703125" style="77" customWidth="1"/>
    <col min="13319" max="13568" width="8.7109375" style="77"/>
    <col min="13569" max="13569" width="105.140625" style="77" customWidth="1"/>
    <col min="13570" max="13570" width="8.7109375" style="77"/>
    <col min="13571" max="13571" width="17.140625" style="77" customWidth="1"/>
    <col min="13572" max="13572" width="20.140625" style="77" customWidth="1"/>
    <col min="13573" max="13573" width="18.85546875" style="77" customWidth="1"/>
    <col min="13574" max="13574" width="15.5703125" style="77" customWidth="1"/>
    <col min="13575" max="13824" width="8.7109375" style="77"/>
    <col min="13825" max="13825" width="105.140625" style="77" customWidth="1"/>
    <col min="13826" max="13826" width="8.7109375" style="77"/>
    <col min="13827" max="13827" width="17.140625" style="77" customWidth="1"/>
    <col min="13828" max="13828" width="20.140625" style="77" customWidth="1"/>
    <col min="13829" max="13829" width="18.85546875" style="77" customWidth="1"/>
    <col min="13830" max="13830" width="15.5703125" style="77" customWidth="1"/>
    <col min="13831" max="14080" width="8.7109375" style="77"/>
    <col min="14081" max="14081" width="105.140625" style="77" customWidth="1"/>
    <col min="14082" max="14082" width="8.7109375" style="77"/>
    <col min="14083" max="14083" width="17.140625" style="77" customWidth="1"/>
    <col min="14084" max="14084" width="20.140625" style="77" customWidth="1"/>
    <col min="14085" max="14085" width="18.85546875" style="77" customWidth="1"/>
    <col min="14086" max="14086" width="15.5703125" style="77" customWidth="1"/>
    <col min="14087" max="14336" width="8.7109375" style="77"/>
    <col min="14337" max="14337" width="105.140625" style="77" customWidth="1"/>
    <col min="14338" max="14338" width="8.7109375" style="77"/>
    <col min="14339" max="14339" width="17.140625" style="77" customWidth="1"/>
    <col min="14340" max="14340" width="20.140625" style="77" customWidth="1"/>
    <col min="14341" max="14341" width="18.85546875" style="77" customWidth="1"/>
    <col min="14342" max="14342" width="15.5703125" style="77" customWidth="1"/>
    <col min="14343" max="14592" width="8.7109375" style="77"/>
    <col min="14593" max="14593" width="105.140625" style="77" customWidth="1"/>
    <col min="14594" max="14594" width="8.7109375" style="77"/>
    <col min="14595" max="14595" width="17.140625" style="77" customWidth="1"/>
    <col min="14596" max="14596" width="20.140625" style="77" customWidth="1"/>
    <col min="14597" max="14597" width="18.85546875" style="77" customWidth="1"/>
    <col min="14598" max="14598" width="15.5703125" style="77" customWidth="1"/>
    <col min="14599" max="14848" width="8.7109375" style="77"/>
    <col min="14849" max="14849" width="105.140625" style="77" customWidth="1"/>
    <col min="14850" max="14850" width="8.7109375" style="77"/>
    <col min="14851" max="14851" width="17.140625" style="77" customWidth="1"/>
    <col min="14852" max="14852" width="20.140625" style="77" customWidth="1"/>
    <col min="14853" max="14853" width="18.85546875" style="77" customWidth="1"/>
    <col min="14854" max="14854" width="15.5703125" style="77" customWidth="1"/>
    <col min="14855" max="15104" width="8.7109375" style="77"/>
    <col min="15105" max="15105" width="105.140625" style="77" customWidth="1"/>
    <col min="15106" max="15106" width="8.7109375" style="77"/>
    <col min="15107" max="15107" width="17.140625" style="77" customWidth="1"/>
    <col min="15108" max="15108" width="20.140625" style="77" customWidth="1"/>
    <col min="15109" max="15109" width="18.85546875" style="77" customWidth="1"/>
    <col min="15110" max="15110" width="15.5703125" style="77" customWidth="1"/>
    <col min="15111" max="15360" width="8.7109375" style="77"/>
    <col min="15361" max="15361" width="105.140625" style="77" customWidth="1"/>
    <col min="15362" max="15362" width="8.7109375" style="77"/>
    <col min="15363" max="15363" width="17.140625" style="77" customWidth="1"/>
    <col min="15364" max="15364" width="20.140625" style="77" customWidth="1"/>
    <col min="15365" max="15365" width="18.85546875" style="77" customWidth="1"/>
    <col min="15366" max="15366" width="15.5703125" style="77" customWidth="1"/>
    <col min="15367" max="15616" width="8.7109375" style="77"/>
    <col min="15617" max="15617" width="105.140625" style="77" customWidth="1"/>
    <col min="15618" max="15618" width="8.7109375" style="77"/>
    <col min="15619" max="15619" width="17.140625" style="77" customWidth="1"/>
    <col min="15620" max="15620" width="20.140625" style="77" customWidth="1"/>
    <col min="15621" max="15621" width="18.85546875" style="77" customWidth="1"/>
    <col min="15622" max="15622" width="15.5703125" style="77" customWidth="1"/>
    <col min="15623" max="15872" width="8.7109375" style="77"/>
    <col min="15873" max="15873" width="105.140625" style="77" customWidth="1"/>
    <col min="15874" max="15874" width="8.7109375" style="77"/>
    <col min="15875" max="15875" width="17.140625" style="77" customWidth="1"/>
    <col min="15876" max="15876" width="20.140625" style="77" customWidth="1"/>
    <col min="15877" max="15877" width="18.85546875" style="77" customWidth="1"/>
    <col min="15878" max="15878" width="15.5703125" style="77" customWidth="1"/>
    <col min="15879" max="16128" width="8.7109375" style="77"/>
    <col min="16129" max="16129" width="105.140625" style="77" customWidth="1"/>
    <col min="16130" max="16130" width="8.7109375" style="77"/>
    <col min="16131" max="16131" width="17.140625" style="77" customWidth="1"/>
    <col min="16132" max="16132" width="20.140625" style="77" customWidth="1"/>
    <col min="16133" max="16133" width="18.85546875" style="77" customWidth="1"/>
    <col min="16134" max="16134" width="15.5703125" style="77" customWidth="1"/>
    <col min="16135" max="16384" width="8.7109375" style="77"/>
  </cols>
  <sheetData>
    <row r="1" spans="1:6" x14ac:dyDescent="0.25">
      <c r="A1" s="76" t="s">
        <v>186</v>
      </c>
      <c r="B1" s="679" t="s">
        <v>1304</v>
      </c>
    </row>
    <row r="2" spans="1:6" ht="21" customHeight="1" x14ac:dyDescent="0.25">
      <c r="B2" s="786" t="str">
        <f>'Kiemelt EI.'!B2:C2</f>
        <v>Az önkormányzat 2022.évi költségvetése</v>
      </c>
      <c r="C2" s="787"/>
      <c r="D2" s="787"/>
      <c r="E2" s="787"/>
      <c r="F2" s="788"/>
    </row>
    <row r="3" spans="1:6" ht="18.75" customHeight="1" x14ac:dyDescent="0.25">
      <c r="B3" s="789" t="s">
        <v>187</v>
      </c>
      <c r="C3" s="787"/>
      <c r="D3" s="787"/>
      <c r="E3" s="787"/>
      <c r="F3" s="788"/>
    </row>
    <row r="4" spans="1:6" ht="18" x14ac:dyDescent="0.25">
      <c r="B4" s="78"/>
    </row>
    <row r="5" spans="1:6" x14ac:dyDescent="0.25">
      <c r="B5" s="79" t="s">
        <v>595</v>
      </c>
    </row>
    <row r="6" spans="1:6" ht="30" x14ac:dyDescent="0.3">
      <c r="B6" s="80" t="s">
        <v>189</v>
      </c>
      <c r="C6" s="81" t="s">
        <v>190</v>
      </c>
      <c r="D6" s="82" t="s">
        <v>191</v>
      </c>
      <c r="E6" s="82" t="s">
        <v>192</v>
      </c>
      <c r="F6" s="82" t="s">
        <v>193</v>
      </c>
    </row>
    <row r="7" spans="1:6" x14ac:dyDescent="0.25">
      <c r="B7" s="83" t="s">
        <v>194</v>
      </c>
      <c r="C7" s="83" t="s">
        <v>195</v>
      </c>
      <c r="D7" s="84">
        <f>SUM('ÖNK kiadás cofogra'!E752)</f>
        <v>46835002</v>
      </c>
      <c r="E7" s="85"/>
      <c r="F7" s="86">
        <f t="shared" ref="F7:F38" si="0">SUM(D7:E7)</f>
        <v>46835002</v>
      </c>
    </row>
    <row r="8" spans="1:6" x14ac:dyDescent="0.25">
      <c r="B8" s="83" t="s">
        <v>196</v>
      </c>
      <c r="C8" s="87" t="s">
        <v>197</v>
      </c>
      <c r="D8" s="360">
        <f>SUM('ÖNK kiadás cofogra'!E753)</f>
        <v>300000</v>
      </c>
      <c r="E8" s="85"/>
      <c r="F8" s="86">
        <f t="shared" si="0"/>
        <v>300000</v>
      </c>
    </row>
    <row r="9" spans="1:6" x14ac:dyDescent="0.25">
      <c r="B9" s="83" t="s">
        <v>198</v>
      </c>
      <c r="C9" s="87" t="s">
        <v>199</v>
      </c>
      <c r="D9" s="360"/>
      <c r="E9" s="85"/>
      <c r="F9" s="86">
        <f t="shared" si="0"/>
        <v>0</v>
      </c>
    </row>
    <row r="10" spans="1:6" x14ac:dyDescent="0.25">
      <c r="B10" s="89" t="s">
        <v>200</v>
      </c>
      <c r="C10" s="87" t="s">
        <v>201</v>
      </c>
      <c r="D10" s="360"/>
      <c r="E10" s="85"/>
      <c r="F10" s="86">
        <f t="shared" si="0"/>
        <v>0</v>
      </c>
    </row>
    <row r="11" spans="1:6" x14ac:dyDescent="0.25">
      <c r="B11" s="89" t="s">
        <v>202</v>
      </c>
      <c r="C11" s="87" t="s">
        <v>203</v>
      </c>
      <c r="D11" s="360"/>
      <c r="E11" s="85"/>
      <c r="F11" s="86">
        <f t="shared" si="0"/>
        <v>0</v>
      </c>
    </row>
    <row r="12" spans="1:6" x14ac:dyDescent="0.25">
      <c r="B12" s="89" t="s">
        <v>16</v>
      </c>
      <c r="C12" s="87" t="s">
        <v>204</v>
      </c>
      <c r="D12" s="360">
        <f>SUM('ÖNK kiadás cofogra'!E754)</f>
        <v>0</v>
      </c>
      <c r="E12" s="85"/>
      <c r="F12" s="86">
        <f t="shared" si="0"/>
        <v>0</v>
      </c>
    </row>
    <row r="13" spans="1:6" x14ac:dyDescent="0.25">
      <c r="B13" s="89" t="s">
        <v>205</v>
      </c>
      <c r="C13" s="87" t="s">
        <v>206</v>
      </c>
      <c r="D13" s="360">
        <f>SUM('ÖNK kiadás cofogra'!E755)</f>
        <v>420000</v>
      </c>
      <c r="E13" s="85"/>
      <c r="F13" s="86">
        <f t="shared" si="0"/>
        <v>420000</v>
      </c>
    </row>
    <row r="14" spans="1:6" x14ac:dyDescent="0.25">
      <c r="B14" s="89" t="s">
        <v>179</v>
      </c>
      <c r="C14" s="87" t="s">
        <v>207</v>
      </c>
      <c r="D14" s="360"/>
      <c r="E14" s="85"/>
      <c r="F14" s="86">
        <f t="shared" si="0"/>
        <v>0</v>
      </c>
    </row>
    <row r="15" spans="1:6" x14ac:dyDescent="0.25">
      <c r="B15" s="90" t="s">
        <v>34</v>
      </c>
      <c r="C15" s="87" t="s">
        <v>208</v>
      </c>
      <c r="D15" s="360">
        <f>SUM('ÖNK kiadás cofogra'!E756)</f>
        <v>241320</v>
      </c>
      <c r="E15" s="85"/>
      <c r="F15" s="86">
        <f t="shared" si="0"/>
        <v>241320</v>
      </c>
    </row>
    <row r="16" spans="1:6" x14ac:dyDescent="0.25">
      <c r="B16" s="90" t="s">
        <v>209</v>
      </c>
      <c r="C16" s="87" t="s">
        <v>210</v>
      </c>
      <c r="D16" s="360">
        <f>SUM('ÖNK kiadás cofogra'!E757)</f>
        <v>0</v>
      </c>
      <c r="E16" s="85"/>
      <c r="F16" s="86">
        <f t="shared" si="0"/>
        <v>0</v>
      </c>
    </row>
    <row r="17" spans="2:6" x14ac:dyDescent="0.25">
      <c r="B17" s="90" t="s">
        <v>211</v>
      </c>
      <c r="C17" s="87" t="s">
        <v>212</v>
      </c>
      <c r="D17" s="360"/>
      <c r="E17" s="85"/>
      <c r="F17" s="86">
        <f t="shared" si="0"/>
        <v>0</v>
      </c>
    </row>
    <row r="18" spans="2:6" x14ac:dyDescent="0.25">
      <c r="B18" s="90" t="s">
        <v>213</v>
      </c>
      <c r="C18" s="87" t="s">
        <v>214</v>
      </c>
      <c r="D18" s="360"/>
      <c r="E18" s="85"/>
      <c r="F18" s="86">
        <f t="shared" si="0"/>
        <v>0</v>
      </c>
    </row>
    <row r="19" spans="2:6" x14ac:dyDescent="0.25">
      <c r="B19" s="90" t="s">
        <v>215</v>
      </c>
      <c r="C19" s="87" t="s">
        <v>216</v>
      </c>
      <c r="D19" s="361">
        <f>SUM('ÖNK kiadás cofogra'!E758)</f>
        <v>3840000</v>
      </c>
      <c r="E19" s="362"/>
      <c r="F19" s="86">
        <f t="shared" si="0"/>
        <v>3840000</v>
      </c>
    </row>
    <row r="20" spans="2:6" x14ac:dyDescent="0.25">
      <c r="B20" s="91" t="s">
        <v>217</v>
      </c>
      <c r="C20" s="92" t="s">
        <v>218</v>
      </c>
      <c r="D20" s="86">
        <f>SUM(D7:D19)</f>
        <v>51636322</v>
      </c>
      <c r="E20" s="85"/>
      <c r="F20" s="86">
        <f t="shared" si="0"/>
        <v>51636322</v>
      </c>
    </row>
    <row r="21" spans="2:6" x14ac:dyDescent="0.25">
      <c r="B21" s="90" t="s">
        <v>149</v>
      </c>
      <c r="C21" s="87" t="s">
        <v>219</v>
      </c>
      <c r="D21" s="361">
        <f>SUM('ÖNK kiadás cofogra'!E759)</f>
        <v>11568712</v>
      </c>
      <c r="E21" s="85"/>
      <c r="F21" s="86">
        <f t="shared" si="0"/>
        <v>11568712</v>
      </c>
    </row>
    <row r="22" spans="2:6" ht="30" x14ac:dyDescent="0.25">
      <c r="B22" s="90" t="s">
        <v>220</v>
      </c>
      <c r="C22" s="87" t="s">
        <v>221</v>
      </c>
      <c r="D22" s="361">
        <f>SUM('ÖNK kiadás cofogra'!E760)</f>
        <v>2686145</v>
      </c>
      <c r="E22" s="85"/>
      <c r="F22" s="86">
        <f t="shared" si="0"/>
        <v>2686145</v>
      </c>
    </row>
    <row r="23" spans="2:6" x14ac:dyDescent="0.25">
      <c r="B23" s="93" t="s">
        <v>181</v>
      </c>
      <c r="C23" s="87" t="s">
        <v>222</v>
      </c>
      <c r="D23" s="361">
        <f>SUM('ÖNK kiadás cofogra'!E761)</f>
        <v>130000</v>
      </c>
      <c r="E23" s="85"/>
      <c r="F23" s="86">
        <f t="shared" si="0"/>
        <v>130000</v>
      </c>
    </row>
    <row r="24" spans="2:6" x14ac:dyDescent="0.25">
      <c r="B24" s="94" t="s">
        <v>223</v>
      </c>
      <c r="C24" s="92" t="s">
        <v>224</v>
      </c>
      <c r="D24" s="86">
        <f>SUM(D21:D23)</f>
        <v>14384857</v>
      </c>
      <c r="E24" s="85"/>
      <c r="F24" s="86">
        <f t="shared" si="0"/>
        <v>14384857</v>
      </c>
    </row>
    <row r="25" spans="2:6" ht="19.5" customHeight="1" x14ac:dyDescent="0.25">
      <c r="B25" s="95" t="s">
        <v>225</v>
      </c>
      <c r="C25" s="96" t="s">
        <v>226</v>
      </c>
      <c r="D25" s="86">
        <f>D20+D24</f>
        <v>66021179</v>
      </c>
      <c r="E25" s="85"/>
      <c r="F25" s="86">
        <f t="shared" si="0"/>
        <v>66021179</v>
      </c>
    </row>
    <row r="26" spans="2:6" ht="22.5" customHeight="1" x14ac:dyDescent="0.25">
      <c r="B26" s="97" t="s">
        <v>227</v>
      </c>
      <c r="C26" s="96" t="s">
        <v>228</v>
      </c>
      <c r="D26" s="86">
        <f>SUM('ÖNK kiadás cofogra'!F764)</f>
        <v>9244801.1500000004</v>
      </c>
      <c r="E26" s="85"/>
      <c r="F26" s="86">
        <f t="shared" si="0"/>
        <v>9244801.1500000004</v>
      </c>
    </row>
    <row r="27" spans="2:6" x14ac:dyDescent="0.25">
      <c r="B27" s="90" t="s">
        <v>157</v>
      </c>
      <c r="C27" s="87" t="s">
        <v>229</v>
      </c>
      <c r="D27" s="361">
        <f>SUM('ÖNK kiadás cofogra'!E765)</f>
        <v>830000</v>
      </c>
      <c r="E27" s="85"/>
      <c r="F27" s="86">
        <f t="shared" si="0"/>
        <v>830000</v>
      </c>
    </row>
    <row r="28" spans="2:6" x14ac:dyDescent="0.25">
      <c r="B28" s="90" t="s">
        <v>138</v>
      </c>
      <c r="C28" s="87" t="s">
        <v>230</v>
      </c>
      <c r="D28" s="361">
        <f>SUM('ÖNK kiadás cofogra'!E766)</f>
        <v>2770000</v>
      </c>
      <c r="E28" s="85"/>
      <c r="F28" s="86">
        <f t="shared" si="0"/>
        <v>2770000</v>
      </c>
    </row>
    <row r="29" spans="2:6" x14ac:dyDescent="0.25">
      <c r="B29" s="90" t="s">
        <v>231</v>
      </c>
      <c r="C29" s="87" t="s">
        <v>232</v>
      </c>
      <c r="D29" s="359"/>
      <c r="E29" s="85"/>
      <c r="F29" s="86">
        <f t="shared" si="0"/>
        <v>0</v>
      </c>
    </row>
    <row r="30" spans="2:6" x14ac:dyDescent="0.25">
      <c r="B30" s="94" t="s">
        <v>233</v>
      </c>
      <c r="C30" s="92" t="s">
        <v>234</v>
      </c>
      <c r="D30" s="86">
        <f>SUM(D27:D29)</f>
        <v>3600000</v>
      </c>
      <c r="E30" s="85"/>
      <c r="F30" s="86">
        <f t="shared" si="0"/>
        <v>3600000</v>
      </c>
    </row>
    <row r="31" spans="2:6" x14ac:dyDescent="0.25">
      <c r="B31" s="90" t="s">
        <v>139</v>
      </c>
      <c r="C31" s="87" t="s">
        <v>235</v>
      </c>
      <c r="D31" s="361">
        <f>SUM('ÖNK kiadás cofogra'!E767)</f>
        <v>733800</v>
      </c>
      <c r="E31" s="85"/>
      <c r="F31" s="86">
        <f t="shared" si="0"/>
        <v>733800</v>
      </c>
    </row>
    <row r="32" spans="2:6" x14ac:dyDescent="0.25">
      <c r="B32" s="90" t="s">
        <v>236</v>
      </c>
      <c r="C32" s="87" t="s">
        <v>237</v>
      </c>
      <c r="D32" s="361">
        <f>SUM('ÖNK kiadás cofogra'!E768)</f>
        <v>511000</v>
      </c>
      <c r="E32" s="85"/>
      <c r="F32" s="86">
        <f t="shared" si="0"/>
        <v>511000</v>
      </c>
    </row>
    <row r="33" spans="2:6" ht="15" customHeight="1" x14ac:dyDescent="0.25">
      <c r="B33" s="94" t="s">
        <v>238</v>
      </c>
      <c r="C33" s="92" t="s">
        <v>239</v>
      </c>
      <c r="D33" s="86">
        <f>SUM(D31:D32)</f>
        <v>1244800</v>
      </c>
      <c r="E33" s="85"/>
      <c r="F33" s="86">
        <f t="shared" si="0"/>
        <v>1244800</v>
      </c>
    </row>
    <row r="34" spans="2:6" x14ac:dyDescent="0.25">
      <c r="B34" s="90" t="s">
        <v>158</v>
      </c>
      <c r="C34" s="87" t="s">
        <v>240</v>
      </c>
      <c r="D34" s="361">
        <f>SUM('ÖNK kiadás cofogra'!E769)</f>
        <v>8498600</v>
      </c>
      <c r="E34" s="85"/>
      <c r="F34" s="86">
        <f t="shared" si="0"/>
        <v>8498600</v>
      </c>
    </row>
    <row r="35" spans="2:6" x14ac:dyDescent="0.25">
      <c r="B35" s="90" t="s">
        <v>145</v>
      </c>
      <c r="C35" s="87" t="s">
        <v>241</v>
      </c>
      <c r="D35" s="360">
        <f>SUM('ÖNK kiadás cofogra'!E770)</f>
        <v>1680000</v>
      </c>
      <c r="E35" s="85"/>
      <c r="F35" s="86">
        <f t="shared" si="0"/>
        <v>1680000</v>
      </c>
    </row>
    <row r="36" spans="2:6" x14ac:dyDescent="0.25">
      <c r="B36" s="90" t="s">
        <v>140</v>
      </c>
      <c r="C36" s="87" t="s">
        <v>242</v>
      </c>
      <c r="D36" s="361">
        <f>SUM('ÖNK kiadás cofogra'!E771)</f>
        <v>84000</v>
      </c>
      <c r="E36" s="85"/>
      <c r="F36" s="86">
        <f t="shared" si="0"/>
        <v>84000</v>
      </c>
    </row>
    <row r="37" spans="2:6" x14ac:dyDescent="0.25">
      <c r="B37" s="90" t="s">
        <v>141</v>
      </c>
      <c r="C37" s="87" t="s">
        <v>243</v>
      </c>
      <c r="D37" s="361">
        <f>SUM('ÖNK kiadás cofogra'!E772)</f>
        <v>1815500</v>
      </c>
      <c r="E37" s="85"/>
      <c r="F37" s="86">
        <f t="shared" si="0"/>
        <v>1815500</v>
      </c>
    </row>
    <row r="38" spans="2:6" x14ac:dyDescent="0.25">
      <c r="B38" s="98" t="s">
        <v>133</v>
      </c>
      <c r="C38" s="87" t="s">
        <v>244</v>
      </c>
      <c r="D38" s="361">
        <f>SUM('ÖNK kiadás cofogra'!E773)</f>
        <v>3060000</v>
      </c>
      <c r="E38" s="85"/>
      <c r="F38" s="86">
        <f t="shared" si="0"/>
        <v>3060000</v>
      </c>
    </row>
    <row r="39" spans="2:6" x14ac:dyDescent="0.25">
      <c r="B39" s="93" t="s">
        <v>245</v>
      </c>
      <c r="C39" s="87" t="s">
        <v>246</v>
      </c>
      <c r="D39" s="361">
        <f>SUM('ÖNK kiadás cofogra'!E774)</f>
        <v>3810000</v>
      </c>
      <c r="E39" s="85"/>
      <c r="F39" s="86">
        <f t="shared" ref="F39:F70" si="1">SUM(D39:E39)</f>
        <v>3810000</v>
      </c>
    </row>
    <row r="40" spans="2:6" x14ac:dyDescent="0.25">
      <c r="B40" s="90" t="s">
        <v>134</v>
      </c>
      <c r="C40" s="87" t="s">
        <v>247</v>
      </c>
      <c r="D40" s="361">
        <f>SUM('ÖNK kiadás cofogra'!E775)</f>
        <v>25574655</v>
      </c>
      <c r="E40" s="85"/>
      <c r="F40" s="86">
        <f t="shared" si="1"/>
        <v>25574655</v>
      </c>
    </row>
    <row r="41" spans="2:6" x14ac:dyDescent="0.25">
      <c r="B41" s="94" t="s">
        <v>248</v>
      </c>
      <c r="C41" s="92" t="s">
        <v>249</v>
      </c>
      <c r="D41" s="86">
        <f>SUM(D34:D40)</f>
        <v>44522755</v>
      </c>
      <c r="E41" s="85"/>
      <c r="F41" s="86">
        <f t="shared" si="1"/>
        <v>44522755</v>
      </c>
    </row>
    <row r="42" spans="2:6" x14ac:dyDescent="0.25">
      <c r="B42" s="90" t="s">
        <v>155</v>
      </c>
      <c r="C42" s="87" t="s">
        <v>250</v>
      </c>
      <c r="D42" s="361">
        <f>SUM('ÖNK kiadás cofogra'!E776)</f>
        <v>10000</v>
      </c>
      <c r="E42" s="85"/>
      <c r="F42" s="86">
        <f t="shared" si="1"/>
        <v>10000</v>
      </c>
    </row>
    <row r="43" spans="2:6" x14ac:dyDescent="0.25">
      <c r="B43" s="90" t="s">
        <v>251</v>
      </c>
      <c r="C43" s="87" t="s">
        <v>252</v>
      </c>
      <c r="D43" s="361">
        <f>SUM('ÖNK kiadás cofogra'!E777)</f>
        <v>15000</v>
      </c>
      <c r="E43" s="85"/>
      <c r="F43" s="86">
        <f t="shared" si="1"/>
        <v>15000</v>
      </c>
    </row>
    <row r="44" spans="2:6" x14ac:dyDescent="0.25">
      <c r="B44" s="94" t="s">
        <v>253</v>
      </c>
      <c r="C44" s="92" t="s">
        <v>254</v>
      </c>
      <c r="D44" s="86">
        <f>SUM(D42:D43)</f>
        <v>25000</v>
      </c>
      <c r="E44" s="85"/>
      <c r="F44" s="86">
        <f t="shared" si="1"/>
        <v>25000</v>
      </c>
    </row>
    <row r="45" spans="2:6" x14ac:dyDescent="0.25">
      <c r="B45" s="90" t="s">
        <v>142</v>
      </c>
      <c r="C45" s="87" t="s">
        <v>255</v>
      </c>
      <c r="D45" s="361">
        <f>SUM('ÖNK kiadás cofogra'!E778)</f>
        <v>6364515</v>
      </c>
      <c r="E45" s="85"/>
      <c r="F45" s="86">
        <f t="shared" si="1"/>
        <v>6364515</v>
      </c>
    </row>
    <row r="46" spans="2:6" x14ac:dyDescent="0.25">
      <c r="B46" s="90" t="s">
        <v>256</v>
      </c>
      <c r="C46" s="87" t="s">
        <v>257</v>
      </c>
      <c r="D46" s="361">
        <f>SUM('ÖNK kiadás cofogra'!E779)</f>
        <v>1212000</v>
      </c>
      <c r="E46" s="85"/>
      <c r="F46" s="86">
        <f t="shared" si="1"/>
        <v>1212000</v>
      </c>
    </row>
    <row r="47" spans="2:6" x14ac:dyDescent="0.25">
      <c r="B47" s="90" t="s">
        <v>258</v>
      </c>
      <c r="C47" s="87" t="s">
        <v>259</v>
      </c>
      <c r="D47" s="361">
        <f>SUM('ÖNK kiadás cofogra'!E780)</f>
        <v>100000</v>
      </c>
      <c r="E47" s="85"/>
      <c r="F47" s="86">
        <f t="shared" si="1"/>
        <v>100000</v>
      </c>
    </row>
    <row r="48" spans="2:6" x14ac:dyDescent="0.25">
      <c r="B48" s="90" t="s">
        <v>260</v>
      </c>
      <c r="C48" s="87" t="s">
        <v>261</v>
      </c>
      <c r="D48" s="359"/>
      <c r="E48" s="85"/>
      <c r="F48" s="86">
        <f t="shared" si="1"/>
        <v>0</v>
      </c>
    </row>
    <row r="49" spans="2:6" x14ac:dyDescent="0.25">
      <c r="B49" s="90" t="s">
        <v>175</v>
      </c>
      <c r="C49" s="87" t="s">
        <v>262</v>
      </c>
      <c r="D49" s="361">
        <f>SUM('ÖNK kiadás cofogra'!E781)</f>
        <v>60000</v>
      </c>
      <c r="E49" s="85"/>
      <c r="F49" s="86">
        <f t="shared" si="1"/>
        <v>60000</v>
      </c>
    </row>
    <row r="50" spans="2:6" x14ac:dyDescent="0.25">
      <c r="B50" s="94" t="s">
        <v>263</v>
      </c>
      <c r="C50" s="92" t="s">
        <v>264</v>
      </c>
      <c r="D50" s="86">
        <f>SUM(D45:D49)</f>
        <v>7736515</v>
      </c>
      <c r="E50" s="85"/>
      <c r="F50" s="86">
        <f t="shared" si="1"/>
        <v>7736515</v>
      </c>
    </row>
    <row r="51" spans="2:6" x14ac:dyDescent="0.25">
      <c r="B51" s="97" t="s">
        <v>135</v>
      </c>
      <c r="C51" s="96" t="s">
        <v>265</v>
      </c>
      <c r="D51" s="86">
        <f>D30+D33+D41+D44+D50</f>
        <v>57129070</v>
      </c>
      <c r="E51" s="85"/>
      <c r="F51" s="86">
        <f t="shared" si="1"/>
        <v>57129070</v>
      </c>
    </row>
    <row r="52" spans="2:6" x14ac:dyDescent="0.25">
      <c r="B52" s="99" t="s">
        <v>266</v>
      </c>
      <c r="C52" s="87" t="s">
        <v>267</v>
      </c>
      <c r="D52" s="359"/>
      <c r="E52" s="85"/>
      <c r="F52" s="86">
        <f t="shared" si="1"/>
        <v>0</v>
      </c>
    </row>
    <row r="53" spans="2:6" x14ac:dyDescent="0.25">
      <c r="B53" s="99" t="s">
        <v>165</v>
      </c>
      <c r="C53" s="87" t="s">
        <v>268</v>
      </c>
      <c r="D53" s="359"/>
      <c r="E53" s="85"/>
      <c r="F53" s="86">
        <f t="shared" si="1"/>
        <v>0</v>
      </c>
    </row>
    <row r="54" spans="2:6" x14ac:dyDescent="0.25">
      <c r="B54" s="100" t="s">
        <v>269</v>
      </c>
      <c r="C54" s="87" t="s">
        <v>270</v>
      </c>
      <c r="D54" s="359"/>
      <c r="E54" s="85"/>
      <c r="F54" s="86">
        <f t="shared" si="1"/>
        <v>0</v>
      </c>
    </row>
    <row r="55" spans="2:6" x14ac:dyDescent="0.25">
      <c r="B55" s="100" t="s">
        <v>271</v>
      </c>
      <c r="C55" s="87" t="s">
        <v>272</v>
      </c>
      <c r="D55" s="359"/>
      <c r="E55" s="85"/>
      <c r="F55" s="86">
        <f t="shared" si="1"/>
        <v>0</v>
      </c>
    </row>
    <row r="56" spans="2:6" x14ac:dyDescent="0.25">
      <c r="B56" s="100" t="s">
        <v>273</v>
      </c>
      <c r="C56" s="87" t="s">
        <v>274</v>
      </c>
      <c r="D56" s="359"/>
      <c r="E56" s="85"/>
      <c r="F56" s="86">
        <f t="shared" si="1"/>
        <v>0</v>
      </c>
    </row>
    <row r="57" spans="2:6" x14ac:dyDescent="0.25">
      <c r="B57" s="99" t="s">
        <v>275</v>
      </c>
      <c r="C57" s="87" t="s">
        <v>276</v>
      </c>
      <c r="D57" s="359"/>
      <c r="E57" s="85"/>
      <c r="F57" s="86">
        <f t="shared" si="1"/>
        <v>0</v>
      </c>
    </row>
    <row r="58" spans="2:6" x14ac:dyDescent="0.25">
      <c r="B58" s="99" t="s">
        <v>277</v>
      </c>
      <c r="C58" s="87" t="s">
        <v>278</v>
      </c>
      <c r="D58" s="359"/>
      <c r="E58" s="85"/>
      <c r="F58" s="86">
        <f t="shared" si="1"/>
        <v>0</v>
      </c>
    </row>
    <row r="59" spans="2:6" x14ac:dyDescent="0.25">
      <c r="B59" s="99" t="s">
        <v>279</v>
      </c>
      <c r="C59" s="87" t="s">
        <v>280</v>
      </c>
      <c r="D59" s="361">
        <f>SUM('ÖNK kiadás cofogra'!E783)</f>
        <v>2355000</v>
      </c>
      <c r="E59" s="85"/>
      <c r="F59" s="86">
        <f t="shared" si="1"/>
        <v>2355000</v>
      </c>
    </row>
    <row r="60" spans="2:6" x14ac:dyDescent="0.25">
      <c r="B60" s="101" t="s">
        <v>281</v>
      </c>
      <c r="C60" s="96" t="s">
        <v>282</v>
      </c>
      <c r="D60" s="86">
        <f>SUM(D52:D59)</f>
        <v>2355000</v>
      </c>
      <c r="E60" s="85"/>
      <c r="F60" s="86">
        <f t="shared" si="1"/>
        <v>2355000</v>
      </c>
    </row>
    <row r="61" spans="2:6" x14ac:dyDescent="0.25">
      <c r="B61" s="102" t="s">
        <v>283</v>
      </c>
      <c r="C61" s="87" t="s">
        <v>284</v>
      </c>
      <c r="D61" s="359"/>
      <c r="E61" s="85"/>
      <c r="F61" s="86">
        <f t="shared" si="1"/>
        <v>0</v>
      </c>
    </row>
    <row r="62" spans="2:6" x14ac:dyDescent="0.25">
      <c r="B62" s="102" t="s">
        <v>285</v>
      </c>
      <c r="C62" s="87" t="s">
        <v>286</v>
      </c>
      <c r="D62" s="361">
        <f>SUM('ÖNK kiadás cofogra'!E785)</f>
        <v>6392468</v>
      </c>
      <c r="E62" s="85"/>
      <c r="F62" s="86">
        <f t="shared" si="1"/>
        <v>6392468</v>
      </c>
    </row>
    <row r="63" spans="2:6" ht="30" x14ac:dyDescent="0.25">
      <c r="B63" s="102" t="s">
        <v>287</v>
      </c>
      <c r="C63" s="87" t="s">
        <v>288</v>
      </c>
      <c r="D63" s="359"/>
      <c r="E63" s="85"/>
      <c r="F63" s="86">
        <f t="shared" si="1"/>
        <v>0</v>
      </c>
    </row>
    <row r="64" spans="2:6" ht="30" x14ac:dyDescent="0.25">
      <c r="B64" s="102" t="s">
        <v>289</v>
      </c>
      <c r="C64" s="87" t="s">
        <v>290</v>
      </c>
      <c r="D64" s="359"/>
      <c r="E64" s="85"/>
      <c r="F64" s="86">
        <f t="shared" si="1"/>
        <v>0</v>
      </c>
    </row>
    <row r="65" spans="2:6" ht="30" x14ac:dyDescent="0.25">
      <c r="B65" s="102" t="s">
        <v>291</v>
      </c>
      <c r="C65" s="87" t="s">
        <v>292</v>
      </c>
      <c r="D65" s="359"/>
      <c r="E65" s="85"/>
      <c r="F65" s="86">
        <f t="shared" si="1"/>
        <v>0</v>
      </c>
    </row>
    <row r="66" spans="2:6" ht="17.45" customHeight="1" x14ac:dyDescent="0.25">
      <c r="B66" s="102" t="s">
        <v>293</v>
      </c>
      <c r="C66" s="87" t="s">
        <v>294</v>
      </c>
      <c r="D66" s="361">
        <f>SUM('ÖNK kiadás cofogra'!E786)</f>
        <v>3738000</v>
      </c>
      <c r="E66" s="85"/>
      <c r="F66" s="86">
        <f t="shared" si="1"/>
        <v>3738000</v>
      </c>
    </row>
    <row r="67" spans="2:6" ht="30" x14ac:dyDescent="0.25">
      <c r="B67" s="102" t="s">
        <v>295</v>
      </c>
      <c r="C67" s="87" t="s">
        <v>296</v>
      </c>
      <c r="D67" s="359"/>
      <c r="E67" s="85"/>
      <c r="F67" s="86">
        <f t="shared" si="1"/>
        <v>0</v>
      </c>
    </row>
    <row r="68" spans="2:6" x14ac:dyDescent="0.25">
      <c r="B68" s="102" t="s">
        <v>596</v>
      </c>
      <c r="C68" s="87" t="s">
        <v>298</v>
      </c>
      <c r="D68" s="361">
        <f>SUM('ÖNK kiadás cofogra'!E787)</f>
        <v>0</v>
      </c>
      <c r="E68" s="85"/>
      <c r="F68" s="86">
        <f t="shared" si="1"/>
        <v>0</v>
      </c>
    </row>
    <row r="69" spans="2:6" x14ac:dyDescent="0.25">
      <c r="B69" s="102" t="s">
        <v>299</v>
      </c>
      <c r="C69" s="87" t="s">
        <v>300</v>
      </c>
      <c r="D69" s="359"/>
      <c r="E69" s="85"/>
      <c r="F69" s="86">
        <f t="shared" si="1"/>
        <v>0</v>
      </c>
    </row>
    <row r="70" spans="2:6" x14ac:dyDescent="0.25">
      <c r="B70" s="103" t="s">
        <v>301</v>
      </c>
      <c r="C70" s="87" t="s">
        <v>302</v>
      </c>
      <c r="D70" s="359"/>
      <c r="E70" s="85"/>
      <c r="F70" s="86">
        <f t="shared" si="1"/>
        <v>0</v>
      </c>
    </row>
    <row r="71" spans="2:6" ht="18" customHeight="1" x14ac:dyDescent="0.25">
      <c r="B71" s="102" t="s">
        <v>597</v>
      </c>
      <c r="C71" s="87" t="s">
        <v>306</v>
      </c>
      <c r="D71" s="361">
        <f>SUM('ÖNK kiadás cofogra'!E788)</f>
        <v>11544000</v>
      </c>
      <c r="E71" s="85"/>
      <c r="F71" s="86">
        <f t="shared" ref="F71:F102" si="2">SUM(D71:E71)</f>
        <v>11544000</v>
      </c>
    </row>
    <row r="72" spans="2:6" x14ac:dyDescent="0.25">
      <c r="B72" s="234" t="s">
        <v>305</v>
      </c>
      <c r="C72" s="235" t="s">
        <v>598</v>
      </c>
      <c r="D72" s="236">
        <f>SUM(D73)</f>
        <v>243223644</v>
      </c>
      <c r="E72" s="237"/>
      <c r="F72" s="236">
        <f t="shared" si="2"/>
        <v>243223644</v>
      </c>
    </row>
    <row r="73" spans="2:6" x14ac:dyDescent="0.25">
      <c r="B73" s="103" t="s">
        <v>307</v>
      </c>
      <c r="C73" s="87" t="s">
        <v>598</v>
      </c>
      <c r="D73" s="361">
        <f>SUM('ÖNK kiadás cofogra'!E789)</f>
        <v>243223644</v>
      </c>
      <c r="E73" s="85"/>
      <c r="F73" s="86">
        <f t="shared" si="2"/>
        <v>243223644</v>
      </c>
    </row>
    <row r="74" spans="2:6" x14ac:dyDescent="0.25">
      <c r="B74" s="101" t="s">
        <v>308</v>
      </c>
      <c r="C74" s="96" t="s">
        <v>309</v>
      </c>
      <c r="D74" s="86">
        <f>SUM(D61:D72)</f>
        <v>264898112</v>
      </c>
      <c r="E74" s="85"/>
      <c r="F74" s="86">
        <f t="shared" si="2"/>
        <v>264898112</v>
      </c>
    </row>
    <row r="75" spans="2:6" ht="15.75" x14ac:dyDescent="0.25">
      <c r="B75" s="104" t="s">
        <v>310</v>
      </c>
      <c r="C75" s="96"/>
      <c r="D75" s="86">
        <f>D25+D26+D51+D60+D74</f>
        <v>399648162.14999998</v>
      </c>
      <c r="E75" s="85"/>
      <c r="F75" s="86">
        <f t="shared" si="2"/>
        <v>399648162.14999998</v>
      </c>
    </row>
    <row r="76" spans="2:6" x14ac:dyDescent="0.25">
      <c r="B76" s="105" t="s">
        <v>311</v>
      </c>
      <c r="C76" s="87" t="s">
        <v>312</v>
      </c>
      <c r="D76" s="359"/>
      <c r="E76" s="85"/>
      <c r="F76" s="86">
        <f t="shared" si="2"/>
        <v>0</v>
      </c>
    </row>
    <row r="77" spans="2:6" x14ac:dyDescent="0.25">
      <c r="B77" s="105" t="s">
        <v>313</v>
      </c>
      <c r="C77" s="87" t="s">
        <v>314</v>
      </c>
      <c r="D77" s="359"/>
      <c r="E77" s="85"/>
      <c r="F77" s="86">
        <f t="shared" si="2"/>
        <v>0</v>
      </c>
    </row>
    <row r="78" spans="2:6" x14ac:dyDescent="0.25">
      <c r="B78" s="105" t="s">
        <v>315</v>
      </c>
      <c r="C78" s="87" t="s">
        <v>316</v>
      </c>
      <c r="D78" s="673">
        <f>SUM('ÖNK kiadás cofogra'!E791)</f>
        <v>40469</v>
      </c>
      <c r="E78" s="85"/>
      <c r="F78" s="86">
        <f t="shared" si="2"/>
        <v>40469</v>
      </c>
    </row>
    <row r="79" spans="2:6" x14ac:dyDescent="0.25">
      <c r="B79" s="105" t="s">
        <v>143</v>
      </c>
      <c r="C79" s="87" t="s">
        <v>317</v>
      </c>
      <c r="D79" s="360">
        <f>SUM('ÖNK kiadás cofogra'!E792)</f>
        <v>0</v>
      </c>
      <c r="E79" s="85"/>
      <c r="F79" s="86">
        <f t="shared" si="2"/>
        <v>0</v>
      </c>
    </row>
    <row r="80" spans="2:6" x14ac:dyDescent="0.25">
      <c r="B80" s="93" t="s">
        <v>318</v>
      </c>
      <c r="C80" s="87" t="s">
        <v>319</v>
      </c>
      <c r="D80" s="359"/>
      <c r="E80" s="85"/>
      <c r="F80" s="86">
        <f t="shared" si="2"/>
        <v>0</v>
      </c>
    </row>
    <row r="81" spans="2:6" x14ac:dyDescent="0.25">
      <c r="B81" s="93" t="s">
        <v>320</v>
      </c>
      <c r="C81" s="87" t="s">
        <v>321</v>
      </c>
      <c r="D81" s="359"/>
      <c r="E81" s="85"/>
      <c r="F81" s="86">
        <f t="shared" si="2"/>
        <v>0</v>
      </c>
    </row>
    <row r="82" spans="2:6" x14ac:dyDescent="0.25">
      <c r="B82" s="93" t="s">
        <v>136</v>
      </c>
      <c r="C82" s="87" t="s">
        <v>322</v>
      </c>
      <c r="D82" s="360">
        <f>SUM('ÖNK kiadás cofogra'!E793)</f>
        <v>10927</v>
      </c>
      <c r="E82" s="85"/>
      <c r="F82" s="86">
        <f t="shared" si="2"/>
        <v>10927</v>
      </c>
    </row>
    <row r="83" spans="2:6" x14ac:dyDescent="0.25">
      <c r="B83" s="106" t="s">
        <v>323</v>
      </c>
      <c r="C83" s="96" t="s">
        <v>324</v>
      </c>
      <c r="D83" s="86">
        <f>SUM(D76:D82)</f>
        <v>51396</v>
      </c>
      <c r="E83" s="85"/>
      <c r="F83" s="86">
        <f t="shared" si="2"/>
        <v>51396</v>
      </c>
    </row>
    <row r="84" spans="2:6" x14ac:dyDescent="0.25">
      <c r="B84" s="99" t="s">
        <v>147</v>
      </c>
      <c r="C84" s="87" t="s">
        <v>325</v>
      </c>
      <c r="D84" s="360">
        <f>SUM('ÖNK kiadás cofogra'!E795)</f>
        <v>40578203</v>
      </c>
      <c r="E84" s="85"/>
      <c r="F84" s="86">
        <f t="shared" si="2"/>
        <v>40578203</v>
      </c>
    </row>
    <row r="85" spans="2:6" x14ac:dyDescent="0.25">
      <c r="B85" s="99" t="s">
        <v>326</v>
      </c>
      <c r="C85" s="87" t="s">
        <v>327</v>
      </c>
      <c r="D85" s="359"/>
      <c r="E85" s="85"/>
      <c r="F85" s="86">
        <f t="shared" si="2"/>
        <v>0</v>
      </c>
    </row>
    <row r="86" spans="2:6" x14ac:dyDescent="0.25">
      <c r="B86" s="99" t="s">
        <v>328</v>
      </c>
      <c r="C86" s="87" t="s">
        <v>329</v>
      </c>
      <c r="D86" s="361">
        <f>SUM('ÖNK kiadás cofogra'!E796)</f>
        <v>1575000</v>
      </c>
      <c r="E86" s="85"/>
      <c r="F86" s="86">
        <f t="shared" si="2"/>
        <v>1575000</v>
      </c>
    </row>
    <row r="87" spans="2:6" x14ac:dyDescent="0.25">
      <c r="B87" s="99" t="s">
        <v>148</v>
      </c>
      <c r="C87" s="87" t="s">
        <v>330</v>
      </c>
      <c r="D87" s="361">
        <f>SUM('ÖNK kiadás cofogra'!E797)</f>
        <v>11381365</v>
      </c>
      <c r="E87" s="85"/>
      <c r="F87" s="86">
        <f t="shared" si="2"/>
        <v>11381365</v>
      </c>
    </row>
    <row r="88" spans="2:6" x14ac:dyDescent="0.25">
      <c r="B88" s="101" t="s">
        <v>331</v>
      </c>
      <c r="C88" s="96" t="s">
        <v>332</v>
      </c>
      <c r="D88" s="86">
        <f>SUM(D84:D87)</f>
        <v>53534568</v>
      </c>
      <c r="E88" s="85"/>
      <c r="F88" s="86">
        <f t="shared" si="2"/>
        <v>53534568</v>
      </c>
    </row>
    <row r="89" spans="2:6" ht="30" x14ac:dyDescent="0.25">
      <c r="B89" s="99" t="s">
        <v>333</v>
      </c>
      <c r="C89" s="87" t="s">
        <v>334</v>
      </c>
      <c r="D89" s="359"/>
      <c r="E89" s="85"/>
      <c r="F89" s="86">
        <f t="shared" si="2"/>
        <v>0</v>
      </c>
    </row>
    <row r="90" spans="2:6" ht="30" x14ac:dyDescent="0.25">
      <c r="B90" s="99" t="s">
        <v>335</v>
      </c>
      <c r="C90" s="87" t="s">
        <v>336</v>
      </c>
      <c r="D90" s="359"/>
      <c r="E90" s="85"/>
      <c r="F90" s="86">
        <f t="shared" si="2"/>
        <v>0</v>
      </c>
    </row>
    <row r="91" spans="2:6" ht="30" x14ac:dyDescent="0.25">
      <c r="B91" s="99" t="s">
        <v>337</v>
      </c>
      <c r="C91" s="87" t="s">
        <v>338</v>
      </c>
      <c r="D91" s="359"/>
      <c r="E91" s="85"/>
      <c r="F91" s="86">
        <f t="shared" si="2"/>
        <v>0</v>
      </c>
    </row>
    <row r="92" spans="2:6" x14ac:dyDescent="0.25">
      <c r="B92" s="99" t="s">
        <v>339</v>
      </c>
      <c r="C92" s="87" t="s">
        <v>340</v>
      </c>
      <c r="D92" s="359"/>
      <c r="E92" s="85"/>
      <c r="F92" s="86">
        <f t="shared" si="2"/>
        <v>0</v>
      </c>
    </row>
    <row r="93" spans="2:6" ht="30" x14ac:dyDescent="0.25">
      <c r="B93" s="99" t="s">
        <v>341</v>
      </c>
      <c r="C93" s="87" t="s">
        <v>342</v>
      </c>
      <c r="D93" s="359"/>
      <c r="E93" s="85"/>
      <c r="F93" s="86">
        <f t="shared" si="2"/>
        <v>0</v>
      </c>
    </row>
    <row r="94" spans="2:6" ht="30" x14ac:dyDescent="0.25">
      <c r="B94" s="99" t="s">
        <v>343</v>
      </c>
      <c r="C94" s="87" t="s">
        <v>344</v>
      </c>
      <c r="D94" s="359"/>
      <c r="E94" s="85"/>
      <c r="F94" s="86">
        <f t="shared" si="2"/>
        <v>0</v>
      </c>
    </row>
    <row r="95" spans="2:6" x14ac:dyDescent="0.25">
      <c r="B95" s="99" t="s">
        <v>345</v>
      </c>
      <c r="C95" s="87" t="s">
        <v>346</v>
      </c>
      <c r="D95" s="359"/>
      <c r="E95" s="85"/>
      <c r="F95" s="86">
        <f t="shared" si="2"/>
        <v>0</v>
      </c>
    </row>
    <row r="96" spans="2:6" x14ac:dyDescent="0.25">
      <c r="B96" s="99" t="s">
        <v>347</v>
      </c>
      <c r="C96" s="87" t="s">
        <v>348</v>
      </c>
      <c r="D96" s="359"/>
      <c r="E96" s="85"/>
      <c r="F96" s="86">
        <f t="shared" si="2"/>
        <v>0</v>
      </c>
    </row>
    <row r="97" spans="2:23" x14ac:dyDescent="0.25">
      <c r="B97" s="101" t="s">
        <v>349</v>
      </c>
      <c r="C97" s="96" t="s">
        <v>350</v>
      </c>
      <c r="D97" s="86">
        <f>SUM(D89:D96)</f>
        <v>0</v>
      </c>
      <c r="E97" s="85"/>
      <c r="F97" s="86">
        <f t="shared" si="2"/>
        <v>0</v>
      </c>
    </row>
    <row r="98" spans="2:23" ht="15.75" x14ac:dyDescent="0.25">
      <c r="B98" s="104" t="s">
        <v>351</v>
      </c>
      <c r="C98" s="96"/>
      <c r="D98" s="86">
        <f>D83+D88+D97</f>
        <v>53585964</v>
      </c>
      <c r="E98" s="85"/>
      <c r="F98" s="86">
        <f t="shared" si="2"/>
        <v>53585964</v>
      </c>
    </row>
    <row r="99" spans="2:23" ht="15.75" x14ac:dyDescent="0.25">
      <c r="B99" s="107" t="s">
        <v>352</v>
      </c>
      <c r="C99" s="108" t="s">
        <v>353</v>
      </c>
      <c r="D99" s="86">
        <f>D75+D98</f>
        <v>453234126.14999998</v>
      </c>
      <c r="E99" s="85"/>
      <c r="F99" s="86">
        <f t="shared" si="2"/>
        <v>453234126.14999998</v>
      </c>
    </row>
    <row r="100" spans="2:23" x14ac:dyDescent="0.25">
      <c r="B100" s="99" t="s">
        <v>354</v>
      </c>
      <c r="C100" s="90" t="s">
        <v>355</v>
      </c>
      <c r="D100" s="359"/>
      <c r="E100" s="99"/>
      <c r="F100" s="86">
        <f t="shared" si="2"/>
        <v>0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2:23" x14ac:dyDescent="0.25">
      <c r="B101" s="99" t="s">
        <v>356</v>
      </c>
      <c r="C101" s="90" t="s">
        <v>357</v>
      </c>
      <c r="D101" s="359"/>
      <c r="E101" s="99"/>
      <c r="F101" s="86">
        <f t="shared" si="2"/>
        <v>0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2:23" x14ac:dyDescent="0.25">
      <c r="B102" s="99" t="s">
        <v>358</v>
      </c>
      <c r="C102" s="90" t="s">
        <v>359</v>
      </c>
      <c r="D102" s="359"/>
      <c r="E102" s="99"/>
      <c r="F102" s="86">
        <f t="shared" si="2"/>
        <v>0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2:23" x14ac:dyDescent="0.25">
      <c r="B103" s="110" t="s">
        <v>360</v>
      </c>
      <c r="C103" s="94" t="s">
        <v>361</v>
      </c>
      <c r="D103" s="86">
        <f>SUM(D100:D102)</f>
        <v>0</v>
      </c>
      <c r="E103" s="110"/>
      <c r="F103" s="86">
        <f t="shared" ref="F103:F123" si="3">SUM(D103:E103)</f>
        <v>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2:23" x14ac:dyDescent="0.25">
      <c r="B104" s="112" t="s">
        <v>362</v>
      </c>
      <c r="C104" s="90" t="s">
        <v>363</v>
      </c>
      <c r="D104" s="359"/>
      <c r="E104" s="112"/>
      <c r="F104" s="86">
        <f t="shared" si="3"/>
        <v>0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2:23" x14ac:dyDescent="0.25">
      <c r="B105" s="112" t="s">
        <v>364</v>
      </c>
      <c r="C105" s="90" t="s">
        <v>365</v>
      </c>
      <c r="D105" s="359"/>
      <c r="E105" s="112"/>
      <c r="F105" s="86">
        <f t="shared" si="3"/>
        <v>0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2:23" x14ac:dyDescent="0.25">
      <c r="B106" s="99" t="s">
        <v>366</v>
      </c>
      <c r="C106" s="90" t="s">
        <v>367</v>
      </c>
      <c r="D106" s="359"/>
      <c r="E106" s="99"/>
      <c r="F106" s="86">
        <f t="shared" si="3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2:23" x14ac:dyDescent="0.25">
      <c r="B107" s="99" t="s">
        <v>368</v>
      </c>
      <c r="C107" s="90" t="s">
        <v>369</v>
      </c>
      <c r="D107" s="359"/>
      <c r="E107" s="99"/>
      <c r="F107" s="86">
        <f t="shared" si="3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2:23" x14ac:dyDescent="0.25">
      <c r="B108" s="114" t="s">
        <v>370</v>
      </c>
      <c r="C108" s="94" t="s">
        <v>371</v>
      </c>
      <c r="D108" s="86">
        <f>SUM(D104:D107)</f>
        <v>0</v>
      </c>
      <c r="E108" s="114"/>
      <c r="F108" s="86">
        <f t="shared" si="3"/>
        <v>0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2:23" x14ac:dyDescent="0.25">
      <c r="B109" s="112" t="s">
        <v>372</v>
      </c>
      <c r="C109" s="90" t="s">
        <v>373</v>
      </c>
      <c r="D109" s="359"/>
      <c r="E109" s="112"/>
      <c r="F109" s="86">
        <f t="shared" si="3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2:23" x14ac:dyDescent="0.25">
      <c r="B110" s="112" t="s">
        <v>374</v>
      </c>
      <c r="C110" s="90" t="s">
        <v>375</v>
      </c>
      <c r="D110" s="361">
        <f>SUM('ÖNK kiadás cofogra'!E799)</f>
        <v>3504664</v>
      </c>
      <c r="E110" s="112"/>
      <c r="F110" s="86">
        <f t="shared" si="3"/>
        <v>3504664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2:23" x14ac:dyDescent="0.25">
      <c r="B111" s="114" t="s">
        <v>376</v>
      </c>
      <c r="C111" s="94" t="s">
        <v>377</v>
      </c>
      <c r="D111" s="361">
        <f>SUM('ÖNK kiadás cofogra'!E800)</f>
        <v>79475225.599999994</v>
      </c>
      <c r="E111" s="112"/>
      <c r="F111" s="86">
        <f t="shared" si="3"/>
        <v>79475225.599999994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2:23" x14ac:dyDescent="0.25">
      <c r="B112" s="112" t="s">
        <v>378</v>
      </c>
      <c r="C112" s="90" t="s">
        <v>379</v>
      </c>
      <c r="D112" s="359"/>
      <c r="E112" s="112"/>
      <c r="F112" s="86">
        <f t="shared" si="3"/>
        <v>0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2:23" x14ac:dyDescent="0.25">
      <c r="B113" s="112" t="s">
        <v>380</v>
      </c>
      <c r="C113" s="90" t="s">
        <v>381</v>
      </c>
      <c r="D113" s="359"/>
      <c r="E113" s="112"/>
      <c r="F113" s="86">
        <f t="shared" si="3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2:23" x14ac:dyDescent="0.25">
      <c r="B114" s="112" t="s">
        <v>382</v>
      </c>
      <c r="C114" s="90" t="s">
        <v>383</v>
      </c>
      <c r="D114" s="359"/>
      <c r="E114" s="112"/>
      <c r="F114" s="86">
        <f t="shared" si="3"/>
        <v>0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2:23" x14ac:dyDescent="0.25">
      <c r="B115" s="116" t="s">
        <v>384</v>
      </c>
      <c r="C115" s="97" t="s">
        <v>385</v>
      </c>
      <c r="D115" s="86">
        <f>D103+D108+D109+D110+D111+D112+D113+D114</f>
        <v>82979889.599999994</v>
      </c>
      <c r="E115" s="114"/>
      <c r="F115" s="86">
        <f t="shared" si="3"/>
        <v>82979889.599999994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</row>
    <row r="116" spans="2:23" x14ac:dyDescent="0.25">
      <c r="B116" s="112" t="s">
        <v>386</v>
      </c>
      <c r="C116" s="90" t="s">
        <v>387</v>
      </c>
      <c r="D116" s="359"/>
      <c r="E116" s="112"/>
      <c r="F116" s="86">
        <f t="shared" si="3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2:23" x14ac:dyDescent="0.25">
      <c r="B117" s="99" t="s">
        <v>388</v>
      </c>
      <c r="C117" s="90" t="s">
        <v>389</v>
      </c>
      <c r="D117" s="359"/>
      <c r="E117" s="99"/>
      <c r="F117" s="86">
        <f t="shared" si="3"/>
        <v>0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2:23" x14ac:dyDescent="0.25">
      <c r="B118" s="112" t="s">
        <v>390</v>
      </c>
      <c r="C118" s="90" t="s">
        <v>391</v>
      </c>
      <c r="D118" s="359"/>
      <c r="E118" s="112"/>
      <c r="F118" s="86">
        <f t="shared" si="3"/>
        <v>0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2:23" x14ac:dyDescent="0.25">
      <c r="B119" s="112" t="s">
        <v>392</v>
      </c>
      <c r="C119" s="90" t="s">
        <v>393</v>
      </c>
      <c r="D119" s="359"/>
      <c r="E119" s="112"/>
      <c r="F119" s="86">
        <f t="shared" si="3"/>
        <v>0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2:23" x14ac:dyDescent="0.25">
      <c r="B120" s="116" t="s">
        <v>394</v>
      </c>
      <c r="C120" s="97" t="s">
        <v>395</v>
      </c>
      <c r="D120" s="86">
        <f>SUM(D116:D119)</f>
        <v>0</v>
      </c>
      <c r="E120" s="114"/>
      <c r="F120" s="86">
        <f t="shared" si="3"/>
        <v>0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2:23" x14ac:dyDescent="0.25">
      <c r="B121" s="99" t="s">
        <v>396</v>
      </c>
      <c r="C121" s="90" t="s">
        <v>397</v>
      </c>
      <c r="D121" s="359"/>
      <c r="E121" s="99"/>
      <c r="F121" s="86">
        <f t="shared" si="3"/>
        <v>0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2:23" ht="15.75" x14ac:dyDescent="0.25">
      <c r="B122" s="117" t="s">
        <v>398</v>
      </c>
      <c r="C122" s="118" t="s">
        <v>399</v>
      </c>
      <c r="D122" s="86">
        <f>D115+D120+D121</f>
        <v>82979889.599999994</v>
      </c>
      <c r="E122" s="114"/>
      <c r="F122" s="86">
        <f t="shared" si="3"/>
        <v>82979889.599999994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</row>
    <row r="123" spans="2:23" ht="15.75" x14ac:dyDescent="0.25">
      <c r="B123" s="119" t="s">
        <v>400</v>
      </c>
      <c r="C123" s="120"/>
      <c r="D123" s="86">
        <f>D99+D122</f>
        <v>536214015.75</v>
      </c>
      <c r="E123" s="85"/>
      <c r="F123" s="86">
        <f t="shared" si="3"/>
        <v>536214015.75</v>
      </c>
    </row>
    <row r="125" spans="2:23" x14ac:dyDescent="0.25">
      <c r="D125" s="363">
        <f>SUM('ÖNK kiadás cofogra'!F803)</f>
        <v>536214015.75</v>
      </c>
      <c r="F125" s="88">
        <f>SUM(D125-F123)</f>
        <v>0</v>
      </c>
    </row>
    <row r="126" spans="2:23" x14ac:dyDescent="0.25">
      <c r="D126" s="88"/>
    </row>
    <row r="127" spans="2:23" x14ac:dyDescent="0.25">
      <c r="D127" s="88"/>
    </row>
    <row r="128" spans="2:23" x14ac:dyDescent="0.25">
      <c r="D128" s="88"/>
    </row>
    <row r="129" spans="4:4" x14ac:dyDescent="0.25">
      <c r="D129" s="88"/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zoomScaleNormal="100" workbookViewId="0">
      <selection activeCell="B5" sqref="B5"/>
    </sheetView>
  </sheetViews>
  <sheetFormatPr defaultRowHeight="15" x14ac:dyDescent="0.25"/>
  <cols>
    <col min="1" max="1" width="2.7109375" style="77" customWidth="1"/>
    <col min="2" max="2" width="66.42578125" style="77" customWidth="1"/>
    <col min="3" max="3" width="8.7109375" style="77"/>
    <col min="4" max="4" width="17.140625" style="77" customWidth="1"/>
    <col min="5" max="5" width="9.85546875" style="77" customWidth="1"/>
    <col min="6" max="6" width="15.7109375" style="77" customWidth="1"/>
    <col min="7" max="256" width="8.7109375" style="77"/>
    <col min="257" max="257" width="105.140625" style="77" customWidth="1"/>
    <col min="258" max="258" width="8.7109375" style="77"/>
    <col min="259" max="259" width="17.140625" style="77" customWidth="1"/>
    <col min="260" max="260" width="20.140625" style="77" customWidth="1"/>
    <col min="261" max="261" width="18.85546875" style="77" customWidth="1"/>
    <col min="262" max="262" width="15.7109375" style="77" customWidth="1"/>
    <col min="263" max="512" width="8.7109375" style="77"/>
    <col min="513" max="513" width="105.140625" style="77" customWidth="1"/>
    <col min="514" max="514" width="8.7109375" style="77"/>
    <col min="515" max="515" width="17.140625" style="77" customWidth="1"/>
    <col min="516" max="516" width="20.140625" style="77" customWidth="1"/>
    <col min="517" max="517" width="18.85546875" style="77" customWidth="1"/>
    <col min="518" max="518" width="15.7109375" style="77" customWidth="1"/>
    <col min="519" max="768" width="8.7109375" style="77"/>
    <col min="769" max="769" width="105.140625" style="77" customWidth="1"/>
    <col min="770" max="770" width="8.7109375" style="77"/>
    <col min="771" max="771" width="17.140625" style="77" customWidth="1"/>
    <col min="772" max="772" width="20.140625" style="77" customWidth="1"/>
    <col min="773" max="773" width="18.85546875" style="77" customWidth="1"/>
    <col min="774" max="774" width="15.7109375" style="77" customWidth="1"/>
    <col min="775" max="1024" width="8.7109375" style="77"/>
    <col min="1025" max="1025" width="105.140625" style="77" customWidth="1"/>
    <col min="1026" max="1026" width="8.7109375" style="77"/>
    <col min="1027" max="1027" width="17.140625" style="77" customWidth="1"/>
    <col min="1028" max="1028" width="20.140625" style="77" customWidth="1"/>
    <col min="1029" max="1029" width="18.85546875" style="77" customWidth="1"/>
    <col min="1030" max="1030" width="15.7109375" style="77" customWidth="1"/>
    <col min="1031" max="1280" width="8.7109375" style="77"/>
    <col min="1281" max="1281" width="105.140625" style="77" customWidth="1"/>
    <col min="1282" max="1282" width="8.7109375" style="77"/>
    <col min="1283" max="1283" width="17.140625" style="77" customWidth="1"/>
    <col min="1284" max="1284" width="20.140625" style="77" customWidth="1"/>
    <col min="1285" max="1285" width="18.85546875" style="77" customWidth="1"/>
    <col min="1286" max="1286" width="15.7109375" style="77" customWidth="1"/>
    <col min="1287" max="1536" width="8.7109375" style="77"/>
    <col min="1537" max="1537" width="105.140625" style="77" customWidth="1"/>
    <col min="1538" max="1538" width="8.7109375" style="77"/>
    <col min="1539" max="1539" width="17.140625" style="77" customWidth="1"/>
    <col min="1540" max="1540" width="20.140625" style="77" customWidth="1"/>
    <col min="1541" max="1541" width="18.85546875" style="77" customWidth="1"/>
    <col min="1542" max="1542" width="15.7109375" style="77" customWidth="1"/>
    <col min="1543" max="1792" width="8.7109375" style="77"/>
    <col min="1793" max="1793" width="105.140625" style="77" customWidth="1"/>
    <col min="1794" max="1794" width="8.7109375" style="77"/>
    <col min="1795" max="1795" width="17.140625" style="77" customWidth="1"/>
    <col min="1796" max="1796" width="20.140625" style="77" customWidth="1"/>
    <col min="1797" max="1797" width="18.85546875" style="77" customWidth="1"/>
    <col min="1798" max="1798" width="15.7109375" style="77" customWidth="1"/>
    <col min="1799" max="2048" width="8.7109375" style="77"/>
    <col min="2049" max="2049" width="105.140625" style="77" customWidth="1"/>
    <col min="2050" max="2050" width="8.7109375" style="77"/>
    <col min="2051" max="2051" width="17.140625" style="77" customWidth="1"/>
    <col min="2052" max="2052" width="20.140625" style="77" customWidth="1"/>
    <col min="2053" max="2053" width="18.85546875" style="77" customWidth="1"/>
    <col min="2054" max="2054" width="15.7109375" style="77" customWidth="1"/>
    <col min="2055" max="2304" width="8.7109375" style="77"/>
    <col min="2305" max="2305" width="105.140625" style="77" customWidth="1"/>
    <col min="2306" max="2306" width="8.7109375" style="77"/>
    <col min="2307" max="2307" width="17.140625" style="77" customWidth="1"/>
    <col min="2308" max="2308" width="20.140625" style="77" customWidth="1"/>
    <col min="2309" max="2309" width="18.85546875" style="77" customWidth="1"/>
    <col min="2310" max="2310" width="15.7109375" style="77" customWidth="1"/>
    <col min="2311" max="2560" width="8.7109375" style="77"/>
    <col min="2561" max="2561" width="105.140625" style="77" customWidth="1"/>
    <col min="2562" max="2562" width="8.7109375" style="77"/>
    <col min="2563" max="2563" width="17.140625" style="77" customWidth="1"/>
    <col min="2564" max="2564" width="20.140625" style="77" customWidth="1"/>
    <col min="2565" max="2565" width="18.85546875" style="77" customWidth="1"/>
    <col min="2566" max="2566" width="15.7109375" style="77" customWidth="1"/>
    <col min="2567" max="2816" width="8.7109375" style="77"/>
    <col min="2817" max="2817" width="105.140625" style="77" customWidth="1"/>
    <col min="2818" max="2818" width="8.7109375" style="77"/>
    <col min="2819" max="2819" width="17.140625" style="77" customWidth="1"/>
    <col min="2820" max="2820" width="20.140625" style="77" customWidth="1"/>
    <col min="2821" max="2821" width="18.85546875" style="77" customWidth="1"/>
    <col min="2822" max="2822" width="15.7109375" style="77" customWidth="1"/>
    <col min="2823" max="3072" width="8.7109375" style="77"/>
    <col min="3073" max="3073" width="105.140625" style="77" customWidth="1"/>
    <col min="3074" max="3074" width="8.7109375" style="77"/>
    <col min="3075" max="3075" width="17.140625" style="77" customWidth="1"/>
    <col min="3076" max="3076" width="20.140625" style="77" customWidth="1"/>
    <col min="3077" max="3077" width="18.85546875" style="77" customWidth="1"/>
    <col min="3078" max="3078" width="15.7109375" style="77" customWidth="1"/>
    <col min="3079" max="3328" width="8.7109375" style="77"/>
    <col min="3329" max="3329" width="105.140625" style="77" customWidth="1"/>
    <col min="3330" max="3330" width="8.7109375" style="77"/>
    <col min="3331" max="3331" width="17.140625" style="77" customWidth="1"/>
    <col min="3332" max="3332" width="20.140625" style="77" customWidth="1"/>
    <col min="3333" max="3333" width="18.85546875" style="77" customWidth="1"/>
    <col min="3334" max="3334" width="15.7109375" style="77" customWidth="1"/>
    <col min="3335" max="3584" width="8.7109375" style="77"/>
    <col min="3585" max="3585" width="105.140625" style="77" customWidth="1"/>
    <col min="3586" max="3586" width="8.7109375" style="77"/>
    <col min="3587" max="3587" width="17.140625" style="77" customWidth="1"/>
    <col min="3588" max="3588" width="20.140625" style="77" customWidth="1"/>
    <col min="3589" max="3589" width="18.85546875" style="77" customWidth="1"/>
    <col min="3590" max="3590" width="15.7109375" style="77" customWidth="1"/>
    <col min="3591" max="3840" width="8.7109375" style="77"/>
    <col min="3841" max="3841" width="105.140625" style="77" customWidth="1"/>
    <col min="3842" max="3842" width="8.7109375" style="77"/>
    <col min="3843" max="3843" width="17.140625" style="77" customWidth="1"/>
    <col min="3844" max="3844" width="20.140625" style="77" customWidth="1"/>
    <col min="3845" max="3845" width="18.85546875" style="77" customWidth="1"/>
    <col min="3846" max="3846" width="15.7109375" style="77" customWidth="1"/>
    <col min="3847" max="4096" width="8.7109375" style="77"/>
    <col min="4097" max="4097" width="105.140625" style="77" customWidth="1"/>
    <col min="4098" max="4098" width="8.7109375" style="77"/>
    <col min="4099" max="4099" width="17.140625" style="77" customWidth="1"/>
    <col min="4100" max="4100" width="20.140625" style="77" customWidth="1"/>
    <col min="4101" max="4101" width="18.85546875" style="77" customWidth="1"/>
    <col min="4102" max="4102" width="15.7109375" style="77" customWidth="1"/>
    <col min="4103" max="4352" width="8.7109375" style="77"/>
    <col min="4353" max="4353" width="105.140625" style="77" customWidth="1"/>
    <col min="4354" max="4354" width="8.7109375" style="77"/>
    <col min="4355" max="4355" width="17.140625" style="77" customWidth="1"/>
    <col min="4356" max="4356" width="20.140625" style="77" customWidth="1"/>
    <col min="4357" max="4357" width="18.85546875" style="77" customWidth="1"/>
    <col min="4358" max="4358" width="15.7109375" style="77" customWidth="1"/>
    <col min="4359" max="4608" width="8.7109375" style="77"/>
    <col min="4609" max="4609" width="105.140625" style="77" customWidth="1"/>
    <col min="4610" max="4610" width="8.7109375" style="77"/>
    <col min="4611" max="4611" width="17.140625" style="77" customWidth="1"/>
    <col min="4612" max="4612" width="20.140625" style="77" customWidth="1"/>
    <col min="4613" max="4613" width="18.85546875" style="77" customWidth="1"/>
    <col min="4614" max="4614" width="15.7109375" style="77" customWidth="1"/>
    <col min="4615" max="4864" width="8.7109375" style="77"/>
    <col min="4865" max="4865" width="105.140625" style="77" customWidth="1"/>
    <col min="4866" max="4866" width="8.7109375" style="77"/>
    <col min="4867" max="4867" width="17.140625" style="77" customWidth="1"/>
    <col min="4868" max="4868" width="20.140625" style="77" customWidth="1"/>
    <col min="4869" max="4869" width="18.85546875" style="77" customWidth="1"/>
    <col min="4870" max="4870" width="15.7109375" style="77" customWidth="1"/>
    <col min="4871" max="5120" width="8.7109375" style="77"/>
    <col min="5121" max="5121" width="105.140625" style="77" customWidth="1"/>
    <col min="5122" max="5122" width="8.7109375" style="77"/>
    <col min="5123" max="5123" width="17.140625" style="77" customWidth="1"/>
    <col min="5124" max="5124" width="20.140625" style="77" customWidth="1"/>
    <col min="5125" max="5125" width="18.85546875" style="77" customWidth="1"/>
    <col min="5126" max="5126" width="15.7109375" style="77" customWidth="1"/>
    <col min="5127" max="5376" width="8.7109375" style="77"/>
    <col min="5377" max="5377" width="105.140625" style="77" customWidth="1"/>
    <col min="5378" max="5378" width="8.7109375" style="77"/>
    <col min="5379" max="5379" width="17.140625" style="77" customWidth="1"/>
    <col min="5380" max="5380" width="20.140625" style="77" customWidth="1"/>
    <col min="5381" max="5381" width="18.85546875" style="77" customWidth="1"/>
    <col min="5382" max="5382" width="15.7109375" style="77" customWidth="1"/>
    <col min="5383" max="5632" width="8.7109375" style="77"/>
    <col min="5633" max="5633" width="105.140625" style="77" customWidth="1"/>
    <col min="5634" max="5634" width="8.7109375" style="77"/>
    <col min="5635" max="5635" width="17.140625" style="77" customWidth="1"/>
    <col min="5636" max="5636" width="20.140625" style="77" customWidth="1"/>
    <col min="5637" max="5637" width="18.85546875" style="77" customWidth="1"/>
    <col min="5638" max="5638" width="15.7109375" style="77" customWidth="1"/>
    <col min="5639" max="5888" width="8.7109375" style="77"/>
    <col min="5889" max="5889" width="105.140625" style="77" customWidth="1"/>
    <col min="5890" max="5890" width="8.7109375" style="77"/>
    <col min="5891" max="5891" width="17.140625" style="77" customWidth="1"/>
    <col min="5892" max="5892" width="20.140625" style="77" customWidth="1"/>
    <col min="5893" max="5893" width="18.85546875" style="77" customWidth="1"/>
    <col min="5894" max="5894" width="15.7109375" style="77" customWidth="1"/>
    <col min="5895" max="6144" width="8.7109375" style="77"/>
    <col min="6145" max="6145" width="105.140625" style="77" customWidth="1"/>
    <col min="6146" max="6146" width="8.7109375" style="77"/>
    <col min="6147" max="6147" width="17.140625" style="77" customWidth="1"/>
    <col min="6148" max="6148" width="20.140625" style="77" customWidth="1"/>
    <col min="6149" max="6149" width="18.85546875" style="77" customWidth="1"/>
    <col min="6150" max="6150" width="15.7109375" style="77" customWidth="1"/>
    <col min="6151" max="6400" width="8.7109375" style="77"/>
    <col min="6401" max="6401" width="105.140625" style="77" customWidth="1"/>
    <col min="6402" max="6402" width="8.7109375" style="77"/>
    <col min="6403" max="6403" width="17.140625" style="77" customWidth="1"/>
    <col min="6404" max="6404" width="20.140625" style="77" customWidth="1"/>
    <col min="6405" max="6405" width="18.85546875" style="77" customWidth="1"/>
    <col min="6406" max="6406" width="15.7109375" style="77" customWidth="1"/>
    <col min="6407" max="6656" width="8.7109375" style="77"/>
    <col min="6657" max="6657" width="105.140625" style="77" customWidth="1"/>
    <col min="6658" max="6658" width="8.7109375" style="77"/>
    <col min="6659" max="6659" width="17.140625" style="77" customWidth="1"/>
    <col min="6660" max="6660" width="20.140625" style="77" customWidth="1"/>
    <col min="6661" max="6661" width="18.85546875" style="77" customWidth="1"/>
    <col min="6662" max="6662" width="15.7109375" style="77" customWidth="1"/>
    <col min="6663" max="6912" width="8.7109375" style="77"/>
    <col min="6913" max="6913" width="105.140625" style="77" customWidth="1"/>
    <col min="6914" max="6914" width="8.7109375" style="77"/>
    <col min="6915" max="6915" width="17.140625" style="77" customWidth="1"/>
    <col min="6916" max="6916" width="20.140625" style="77" customWidth="1"/>
    <col min="6917" max="6917" width="18.85546875" style="77" customWidth="1"/>
    <col min="6918" max="6918" width="15.7109375" style="77" customWidth="1"/>
    <col min="6919" max="7168" width="8.7109375" style="77"/>
    <col min="7169" max="7169" width="105.140625" style="77" customWidth="1"/>
    <col min="7170" max="7170" width="8.7109375" style="77"/>
    <col min="7171" max="7171" width="17.140625" style="77" customWidth="1"/>
    <col min="7172" max="7172" width="20.140625" style="77" customWidth="1"/>
    <col min="7173" max="7173" width="18.85546875" style="77" customWidth="1"/>
    <col min="7174" max="7174" width="15.7109375" style="77" customWidth="1"/>
    <col min="7175" max="7424" width="8.7109375" style="77"/>
    <col min="7425" max="7425" width="105.140625" style="77" customWidth="1"/>
    <col min="7426" max="7426" width="8.7109375" style="77"/>
    <col min="7427" max="7427" width="17.140625" style="77" customWidth="1"/>
    <col min="7428" max="7428" width="20.140625" style="77" customWidth="1"/>
    <col min="7429" max="7429" width="18.85546875" style="77" customWidth="1"/>
    <col min="7430" max="7430" width="15.7109375" style="77" customWidth="1"/>
    <col min="7431" max="7680" width="8.7109375" style="77"/>
    <col min="7681" max="7681" width="105.140625" style="77" customWidth="1"/>
    <col min="7682" max="7682" width="8.7109375" style="77"/>
    <col min="7683" max="7683" width="17.140625" style="77" customWidth="1"/>
    <col min="7684" max="7684" width="20.140625" style="77" customWidth="1"/>
    <col min="7685" max="7685" width="18.85546875" style="77" customWidth="1"/>
    <col min="7686" max="7686" width="15.7109375" style="77" customWidth="1"/>
    <col min="7687" max="7936" width="8.7109375" style="77"/>
    <col min="7937" max="7937" width="105.140625" style="77" customWidth="1"/>
    <col min="7938" max="7938" width="8.7109375" style="77"/>
    <col min="7939" max="7939" width="17.140625" style="77" customWidth="1"/>
    <col min="7940" max="7940" width="20.140625" style="77" customWidth="1"/>
    <col min="7941" max="7941" width="18.85546875" style="77" customWidth="1"/>
    <col min="7942" max="7942" width="15.7109375" style="77" customWidth="1"/>
    <col min="7943" max="8192" width="8.7109375" style="77"/>
    <col min="8193" max="8193" width="105.140625" style="77" customWidth="1"/>
    <col min="8194" max="8194" width="8.7109375" style="77"/>
    <col min="8195" max="8195" width="17.140625" style="77" customWidth="1"/>
    <col min="8196" max="8196" width="20.140625" style="77" customWidth="1"/>
    <col min="8197" max="8197" width="18.85546875" style="77" customWidth="1"/>
    <col min="8198" max="8198" width="15.7109375" style="77" customWidth="1"/>
    <col min="8199" max="8448" width="8.7109375" style="77"/>
    <col min="8449" max="8449" width="105.140625" style="77" customWidth="1"/>
    <col min="8450" max="8450" width="8.7109375" style="77"/>
    <col min="8451" max="8451" width="17.140625" style="77" customWidth="1"/>
    <col min="8452" max="8452" width="20.140625" style="77" customWidth="1"/>
    <col min="8453" max="8453" width="18.85546875" style="77" customWidth="1"/>
    <col min="8454" max="8454" width="15.7109375" style="77" customWidth="1"/>
    <col min="8455" max="8704" width="8.7109375" style="77"/>
    <col min="8705" max="8705" width="105.140625" style="77" customWidth="1"/>
    <col min="8706" max="8706" width="8.7109375" style="77"/>
    <col min="8707" max="8707" width="17.140625" style="77" customWidth="1"/>
    <col min="8708" max="8708" width="20.140625" style="77" customWidth="1"/>
    <col min="8709" max="8709" width="18.85546875" style="77" customWidth="1"/>
    <col min="8710" max="8710" width="15.7109375" style="77" customWidth="1"/>
    <col min="8711" max="8960" width="8.7109375" style="77"/>
    <col min="8961" max="8961" width="105.140625" style="77" customWidth="1"/>
    <col min="8962" max="8962" width="8.7109375" style="77"/>
    <col min="8963" max="8963" width="17.140625" style="77" customWidth="1"/>
    <col min="8964" max="8964" width="20.140625" style="77" customWidth="1"/>
    <col min="8965" max="8965" width="18.85546875" style="77" customWidth="1"/>
    <col min="8966" max="8966" width="15.7109375" style="77" customWidth="1"/>
    <col min="8967" max="9216" width="8.7109375" style="77"/>
    <col min="9217" max="9217" width="105.140625" style="77" customWidth="1"/>
    <col min="9218" max="9218" width="8.7109375" style="77"/>
    <col min="9219" max="9219" width="17.140625" style="77" customWidth="1"/>
    <col min="9220" max="9220" width="20.140625" style="77" customWidth="1"/>
    <col min="9221" max="9221" width="18.85546875" style="77" customWidth="1"/>
    <col min="9222" max="9222" width="15.7109375" style="77" customWidth="1"/>
    <col min="9223" max="9472" width="8.7109375" style="77"/>
    <col min="9473" max="9473" width="105.140625" style="77" customWidth="1"/>
    <col min="9474" max="9474" width="8.7109375" style="77"/>
    <col min="9475" max="9475" width="17.140625" style="77" customWidth="1"/>
    <col min="9476" max="9476" width="20.140625" style="77" customWidth="1"/>
    <col min="9477" max="9477" width="18.85546875" style="77" customWidth="1"/>
    <col min="9478" max="9478" width="15.7109375" style="77" customWidth="1"/>
    <col min="9479" max="9728" width="8.7109375" style="77"/>
    <col min="9729" max="9729" width="105.140625" style="77" customWidth="1"/>
    <col min="9730" max="9730" width="8.7109375" style="77"/>
    <col min="9731" max="9731" width="17.140625" style="77" customWidth="1"/>
    <col min="9732" max="9732" width="20.140625" style="77" customWidth="1"/>
    <col min="9733" max="9733" width="18.85546875" style="77" customWidth="1"/>
    <col min="9734" max="9734" width="15.7109375" style="77" customWidth="1"/>
    <col min="9735" max="9984" width="8.7109375" style="77"/>
    <col min="9985" max="9985" width="105.140625" style="77" customWidth="1"/>
    <col min="9986" max="9986" width="8.7109375" style="77"/>
    <col min="9987" max="9987" width="17.140625" style="77" customWidth="1"/>
    <col min="9988" max="9988" width="20.140625" style="77" customWidth="1"/>
    <col min="9989" max="9989" width="18.85546875" style="77" customWidth="1"/>
    <col min="9990" max="9990" width="15.7109375" style="77" customWidth="1"/>
    <col min="9991" max="10240" width="8.7109375" style="77"/>
    <col min="10241" max="10241" width="105.140625" style="77" customWidth="1"/>
    <col min="10242" max="10242" width="8.7109375" style="77"/>
    <col min="10243" max="10243" width="17.140625" style="77" customWidth="1"/>
    <col min="10244" max="10244" width="20.140625" style="77" customWidth="1"/>
    <col min="10245" max="10245" width="18.85546875" style="77" customWidth="1"/>
    <col min="10246" max="10246" width="15.7109375" style="77" customWidth="1"/>
    <col min="10247" max="10496" width="8.7109375" style="77"/>
    <col min="10497" max="10497" width="105.140625" style="77" customWidth="1"/>
    <col min="10498" max="10498" width="8.7109375" style="77"/>
    <col min="10499" max="10499" width="17.140625" style="77" customWidth="1"/>
    <col min="10500" max="10500" width="20.140625" style="77" customWidth="1"/>
    <col min="10501" max="10501" width="18.85546875" style="77" customWidth="1"/>
    <col min="10502" max="10502" width="15.7109375" style="77" customWidth="1"/>
    <col min="10503" max="10752" width="8.7109375" style="77"/>
    <col min="10753" max="10753" width="105.140625" style="77" customWidth="1"/>
    <col min="10754" max="10754" width="8.7109375" style="77"/>
    <col min="10755" max="10755" width="17.140625" style="77" customWidth="1"/>
    <col min="10756" max="10756" width="20.140625" style="77" customWidth="1"/>
    <col min="10757" max="10757" width="18.85546875" style="77" customWidth="1"/>
    <col min="10758" max="10758" width="15.7109375" style="77" customWidth="1"/>
    <col min="10759" max="11008" width="8.7109375" style="77"/>
    <col min="11009" max="11009" width="105.140625" style="77" customWidth="1"/>
    <col min="11010" max="11010" width="8.7109375" style="77"/>
    <col min="11011" max="11011" width="17.140625" style="77" customWidth="1"/>
    <col min="11012" max="11012" width="20.140625" style="77" customWidth="1"/>
    <col min="11013" max="11013" width="18.85546875" style="77" customWidth="1"/>
    <col min="11014" max="11014" width="15.7109375" style="77" customWidth="1"/>
    <col min="11015" max="11264" width="8.7109375" style="77"/>
    <col min="11265" max="11265" width="105.140625" style="77" customWidth="1"/>
    <col min="11266" max="11266" width="8.7109375" style="77"/>
    <col min="11267" max="11267" width="17.140625" style="77" customWidth="1"/>
    <col min="11268" max="11268" width="20.140625" style="77" customWidth="1"/>
    <col min="11269" max="11269" width="18.85546875" style="77" customWidth="1"/>
    <col min="11270" max="11270" width="15.7109375" style="77" customWidth="1"/>
    <col min="11271" max="11520" width="8.7109375" style="77"/>
    <col min="11521" max="11521" width="105.140625" style="77" customWidth="1"/>
    <col min="11522" max="11522" width="8.7109375" style="77"/>
    <col min="11523" max="11523" width="17.140625" style="77" customWidth="1"/>
    <col min="11524" max="11524" width="20.140625" style="77" customWidth="1"/>
    <col min="11525" max="11525" width="18.85546875" style="77" customWidth="1"/>
    <col min="11526" max="11526" width="15.7109375" style="77" customWidth="1"/>
    <col min="11527" max="11776" width="8.7109375" style="77"/>
    <col min="11777" max="11777" width="105.140625" style="77" customWidth="1"/>
    <col min="11778" max="11778" width="8.7109375" style="77"/>
    <col min="11779" max="11779" width="17.140625" style="77" customWidth="1"/>
    <col min="11780" max="11780" width="20.140625" style="77" customWidth="1"/>
    <col min="11781" max="11781" width="18.85546875" style="77" customWidth="1"/>
    <col min="11782" max="11782" width="15.7109375" style="77" customWidth="1"/>
    <col min="11783" max="12032" width="8.7109375" style="77"/>
    <col min="12033" max="12033" width="105.140625" style="77" customWidth="1"/>
    <col min="12034" max="12034" width="8.7109375" style="77"/>
    <col min="12035" max="12035" width="17.140625" style="77" customWidth="1"/>
    <col min="12036" max="12036" width="20.140625" style="77" customWidth="1"/>
    <col min="12037" max="12037" width="18.85546875" style="77" customWidth="1"/>
    <col min="12038" max="12038" width="15.7109375" style="77" customWidth="1"/>
    <col min="12039" max="12288" width="8.7109375" style="77"/>
    <col min="12289" max="12289" width="105.140625" style="77" customWidth="1"/>
    <col min="12290" max="12290" width="8.7109375" style="77"/>
    <col min="12291" max="12291" width="17.140625" style="77" customWidth="1"/>
    <col min="12292" max="12292" width="20.140625" style="77" customWidth="1"/>
    <col min="12293" max="12293" width="18.85546875" style="77" customWidth="1"/>
    <col min="12294" max="12294" width="15.7109375" style="77" customWidth="1"/>
    <col min="12295" max="12544" width="8.7109375" style="77"/>
    <col min="12545" max="12545" width="105.140625" style="77" customWidth="1"/>
    <col min="12546" max="12546" width="8.7109375" style="77"/>
    <col min="12547" max="12547" width="17.140625" style="77" customWidth="1"/>
    <col min="12548" max="12548" width="20.140625" style="77" customWidth="1"/>
    <col min="12549" max="12549" width="18.85546875" style="77" customWidth="1"/>
    <col min="12550" max="12550" width="15.7109375" style="77" customWidth="1"/>
    <col min="12551" max="12800" width="8.7109375" style="77"/>
    <col min="12801" max="12801" width="105.140625" style="77" customWidth="1"/>
    <col min="12802" max="12802" width="8.7109375" style="77"/>
    <col min="12803" max="12803" width="17.140625" style="77" customWidth="1"/>
    <col min="12804" max="12804" width="20.140625" style="77" customWidth="1"/>
    <col min="12805" max="12805" width="18.85546875" style="77" customWidth="1"/>
    <col min="12806" max="12806" width="15.7109375" style="77" customWidth="1"/>
    <col min="12807" max="13056" width="8.7109375" style="77"/>
    <col min="13057" max="13057" width="105.140625" style="77" customWidth="1"/>
    <col min="13058" max="13058" width="8.7109375" style="77"/>
    <col min="13059" max="13059" width="17.140625" style="77" customWidth="1"/>
    <col min="13060" max="13060" width="20.140625" style="77" customWidth="1"/>
    <col min="13061" max="13061" width="18.85546875" style="77" customWidth="1"/>
    <col min="13062" max="13062" width="15.7109375" style="77" customWidth="1"/>
    <col min="13063" max="13312" width="8.7109375" style="77"/>
    <col min="13313" max="13313" width="105.140625" style="77" customWidth="1"/>
    <col min="13314" max="13314" width="8.7109375" style="77"/>
    <col min="13315" max="13315" width="17.140625" style="77" customWidth="1"/>
    <col min="13316" max="13316" width="20.140625" style="77" customWidth="1"/>
    <col min="13317" max="13317" width="18.85546875" style="77" customWidth="1"/>
    <col min="13318" max="13318" width="15.7109375" style="77" customWidth="1"/>
    <col min="13319" max="13568" width="8.7109375" style="77"/>
    <col min="13569" max="13569" width="105.140625" style="77" customWidth="1"/>
    <col min="13570" max="13570" width="8.7109375" style="77"/>
    <col min="13571" max="13571" width="17.140625" style="77" customWidth="1"/>
    <col min="13572" max="13572" width="20.140625" style="77" customWidth="1"/>
    <col min="13573" max="13573" width="18.85546875" style="77" customWidth="1"/>
    <col min="13574" max="13574" width="15.7109375" style="77" customWidth="1"/>
    <col min="13575" max="13824" width="8.7109375" style="77"/>
    <col min="13825" max="13825" width="105.140625" style="77" customWidth="1"/>
    <col min="13826" max="13826" width="8.7109375" style="77"/>
    <col min="13827" max="13827" width="17.140625" style="77" customWidth="1"/>
    <col min="13828" max="13828" width="20.140625" style="77" customWidth="1"/>
    <col min="13829" max="13829" width="18.85546875" style="77" customWidth="1"/>
    <col min="13830" max="13830" width="15.7109375" style="77" customWidth="1"/>
    <col min="13831" max="14080" width="8.7109375" style="77"/>
    <col min="14081" max="14081" width="105.140625" style="77" customWidth="1"/>
    <col min="14082" max="14082" width="8.7109375" style="77"/>
    <col min="14083" max="14083" width="17.140625" style="77" customWidth="1"/>
    <col min="14084" max="14084" width="20.140625" style="77" customWidth="1"/>
    <col min="14085" max="14085" width="18.85546875" style="77" customWidth="1"/>
    <col min="14086" max="14086" width="15.7109375" style="77" customWidth="1"/>
    <col min="14087" max="14336" width="8.7109375" style="77"/>
    <col min="14337" max="14337" width="105.140625" style="77" customWidth="1"/>
    <col min="14338" max="14338" width="8.7109375" style="77"/>
    <col min="14339" max="14339" width="17.140625" style="77" customWidth="1"/>
    <col min="14340" max="14340" width="20.140625" style="77" customWidth="1"/>
    <col min="14341" max="14341" width="18.85546875" style="77" customWidth="1"/>
    <col min="14342" max="14342" width="15.7109375" style="77" customWidth="1"/>
    <col min="14343" max="14592" width="8.7109375" style="77"/>
    <col min="14593" max="14593" width="105.140625" style="77" customWidth="1"/>
    <col min="14594" max="14594" width="8.7109375" style="77"/>
    <col min="14595" max="14595" width="17.140625" style="77" customWidth="1"/>
    <col min="14596" max="14596" width="20.140625" style="77" customWidth="1"/>
    <col min="14597" max="14597" width="18.85546875" style="77" customWidth="1"/>
    <col min="14598" max="14598" width="15.7109375" style="77" customWidth="1"/>
    <col min="14599" max="14848" width="8.7109375" style="77"/>
    <col min="14849" max="14849" width="105.140625" style="77" customWidth="1"/>
    <col min="14850" max="14850" width="8.7109375" style="77"/>
    <col min="14851" max="14851" width="17.140625" style="77" customWidth="1"/>
    <col min="14852" max="14852" width="20.140625" style="77" customWidth="1"/>
    <col min="14853" max="14853" width="18.85546875" style="77" customWidth="1"/>
    <col min="14854" max="14854" width="15.7109375" style="77" customWidth="1"/>
    <col min="14855" max="15104" width="8.7109375" style="77"/>
    <col min="15105" max="15105" width="105.140625" style="77" customWidth="1"/>
    <col min="15106" max="15106" width="8.7109375" style="77"/>
    <col min="15107" max="15107" width="17.140625" style="77" customWidth="1"/>
    <col min="15108" max="15108" width="20.140625" style="77" customWidth="1"/>
    <col min="15109" max="15109" width="18.85546875" style="77" customWidth="1"/>
    <col min="15110" max="15110" width="15.7109375" style="77" customWidth="1"/>
    <col min="15111" max="15360" width="8.7109375" style="77"/>
    <col min="15361" max="15361" width="105.140625" style="77" customWidth="1"/>
    <col min="15362" max="15362" width="8.7109375" style="77"/>
    <col min="15363" max="15363" width="17.140625" style="77" customWidth="1"/>
    <col min="15364" max="15364" width="20.140625" style="77" customWidth="1"/>
    <col min="15365" max="15365" width="18.85546875" style="77" customWidth="1"/>
    <col min="15366" max="15366" width="15.7109375" style="77" customWidth="1"/>
    <col min="15367" max="15616" width="8.7109375" style="77"/>
    <col min="15617" max="15617" width="105.140625" style="77" customWidth="1"/>
    <col min="15618" max="15618" width="8.7109375" style="77"/>
    <col min="15619" max="15619" width="17.140625" style="77" customWidth="1"/>
    <col min="15620" max="15620" width="20.140625" style="77" customWidth="1"/>
    <col min="15621" max="15621" width="18.85546875" style="77" customWidth="1"/>
    <col min="15622" max="15622" width="15.7109375" style="77" customWidth="1"/>
    <col min="15623" max="15872" width="8.7109375" style="77"/>
    <col min="15873" max="15873" width="105.140625" style="77" customWidth="1"/>
    <col min="15874" max="15874" width="8.7109375" style="77"/>
    <col min="15875" max="15875" width="17.140625" style="77" customWidth="1"/>
    <col min="15876" max="15876" width="20.140625" style="77" customWidth="1"/>
    <col min="15877" max="15877" width="18.85546875" style="77" customWidth="1"/>
    <col min="15878" max="15878" width="15.7109375" style="77" customWidth="1"/>
    <col min="15879" max="16128" width="8.7109375" style="77"/>
    <col min="16129" max="16129" width="105.140625" style="77" customWidth="1"/>
    <col min="16130" max="16130" width="8.7109375" style="77"/>
    <col min="16131" max="16131" width="17.140625" style="77" customWidth="1"/>
    <col min="16132" max="16132" width="20.140625" style="77" customWidth="1"/>
    <col min="16133" max="16133" width="18.85546875" style="77" customWidth="1"/>
    <col min="16134" max="16134" width="15.7109375" style="77" customWidth="1"/>
    <col min="16135" max="16384" width="8.7109375" style="77"/>
  </cols>
  <sheetData>
    <row r="1" spans="1:6" x14ac:dyDescent="0.25">
      <c r="A1" s="76" t="s">
        <v>186</v>
      </c>
      <c r="B1" s="679" t="s">
        <v>1304</v>
      </c>
    </row>
    <row r="2" spans="1:6" ht="20.25" customHeight="1" x14ac:dyDescent="0.25">
      <c r="B2" s="790" t="str">
        <f>'Kiemelt EI.'!B2:C2</f>
        <v>Az önkormányzat 2022.évi költségvetése</v>
      </c>
      <c r="C2" s="791"/>
      <c r="D2" s="791"/>
      <c r="E2" s="791"/>
      <c r="F2" s="792"/>
    </row>
    <row r="3" spans="1:6" ht="19.5" customHeight="1" x14ac:dyDescent="0.25">
      <c r="B3" s="793" t="s">
        <v>187</v>
      </c>
      <c r="C3" s="791"/>
      <c r="D3" s="791"/>
      <c r="E3" s="791"/>
      <c r="F3" s="792"/>
    </row>
    <row r="4" spans="1:6" ht="18" x14ac:dyDescent="0.25">
      <c r="B4" s="78"/>
    </row>
    <row r="5" spans="1:6" x14ac:dyDescent="0.25">
      <c r="B5" s="680" t="s">
        <v>188</v>
      </c>
    </row>
    <row r="6" spans="1:6" ht="60.75" customHeight="1" x14ac:dyDescent="0.3">
      <c r="B6" s="80" t="s">
        <v>189</v>
      </c>
      <c r="C6" s="81" t="s">
        <v>190</v>
      </c>
      <c r="D6" s="82" t="s">
        <v>191</v>
      </c>
      <c r="E6" s="82" t="s">
        <v>192</v>
      </c>
      <c r="F6" s="82" t="s">
        <v>193</v>
      </c>
    </row>
    <row r="7" spans="1:6" x14ac:dyDescent="0.25">
      <c r="B7" s="83" t="s">
        <v>194</v>
      </c>
      <c r="C7" s="83" t="s">
        <v>195</v>
      </c>
      <c r="D7" s="84">
        <f>SUM('KÖH kiadás'!E425)</f>
        <v>58246860</v>
      </c>
      <c r="E7" s="85"/>
      <c r="F7" s="86">
        <f t="shared" ref="F7:F38" si="0">SUM(D7:E7)</f>
        <v>58246860</v>
      </c>
    </row>
    <row r="8" spans="1:6" x14ac:dyDescent="0.25">
      <c r="B8" s="83" t="s">
        <v>196</v>
      </c>
      <c r="C8" s="87" t="s">
        <v>197</v>
      </c>
      <c r="D8" s="88">
        <f>SUM('KÖH kiadás'!E426)</f>
        <v>1847500</v>
      </c>
      <c r="E8" s="85"/>
      <c r="F8" s="86">
        <f t="shared" si="0"/>
        <v>1847500</v>
      </c>
    </row>
    <row r="9" spans="1:6" x14ac:dyDescent="0.25">
      <c r="B9" s="83" t="s">
        <v>198</v>
      </c>
      <c r="C9" s="87" t="s">
        <v>199</v>
      </c>
      <c r="D9" s="84"/>
      <c r="E9" s="85"/>
      <c r="F9" s="86">
        <f t="shared" si="0"/>
        <v>0</v>
      </c>
    </row>
    <row r="10" spans="1:6" x14ac:dyDescent="0.25">
      <c r="B10" s="89" t="s">
        <v>200</v>
      </c>
      <c r="C10" s="87" t="s">
        <v>201</v>
      </c>
      <c r="D10" s="84"/>
      <c r="E10" s="85"/>
      <c r="F10" s="86">
        <f t="shared" si="0"/>
        <v>0</v>
      </c>
    </row>
    <row r="11" spans="1:6" x14ac:dyDescent="0.25">
      <c r="B11" s="89" t="s">
        <v>202</v>
      </c>
      <c r="C11" s="87" t="s">
        <v>203</v>
      </c>
      <c r="D11" s="84"/>
      <c r="E11" s="85"/>
      <c r="F11" s="86">
        <f t="shared" si="0"/>
        <v>0</v>
      </c>
    </row>
    <row r="12" spans="1:6" x14ac:dyDescent="0.25">
      <c r="B12" s="89" t="s">
        <v>16</v>
      </c>
      <c r="C12" s="87" t="s">
        <v>204</v>
      </c>
      <c r="D12" s="84">
        <f>SUM('KÖH kiadás'!E427)</f>
        <v>2501760</v>
      </c>
      <c r="E12" s="85"/>
      <c r="F12" s="86">
        <f t="shared" si="0"/>
        <v>2501760</v>
      </c>
    </row>
    <row r="13" spans="1:6" x14ac:dyDescent="0.25">
      <c r="B13" s="89" t="s">
        <v>205</v>
      </c>
      <c r="C13" s="87" t="s">
        <v>206</v>
      </c>
      <c r="D13" s="84">
        <f>SUM('KÖH kiadás'!E428)</f>
        <v>2600000</v>
      </c>
      <c r="E13" s="85"/>
      <c r="F13" s="86">
        <f t="shared" si="0"/>
        <v>2600000</v>
      </c>
    </row>
    <row r="14" spans="1:6" x14ac:dyDescent="0.25">
      <c r="B14" s="89" t="s">
        <v>179</v>
      </c>
      <c r="C14" s="87" t="s">
        <v>207</v>
      </c>
      <c r="D14" s="84"/>
      <c r="E14" s="85"/>
      <c r="F14" s="86">
        <f t="shared" si="0"/>
        <v>0</v>
      </c>
    </row>
    <row r="15" spans="1:6" x14ac:dyDescent="0.25">
      <c r="B15" s="90" t="s">
        <v>34</v>
      </c>
      <c r="C15" s="87" t="s">
        <v>208</v>
      </c>
      <c r="D15" s="84">
        <f>SUM('KÖH kiadás'!E429)</f>
        <v>520500</v>
      </c>
      <c r="E15" s="85"/>
      <c r="F15" s="86">
        <f t="shared" si="0"/>
        <v>520500</v>
      </c>
    </row>
    <row r="16" spans="1:6" x14ac:dyDescent="0.25">
      <c r="B16" s="90" t="s">
        <v>209</v>
      </c>
      <c r="C16" s="87" t="s">
        <v>210</v>
      </c>
      <c r="D16" s="84">
        <f>SUM('KÖH kiadás'!E430)</f>
        <v>450000</v>
      </c>
      <c r="E16" s="85"/>
      <c r="F16" s="86">
        <f t="shared" si="0"/>
        <v>450000</v>
      </c>
    </row>
    <row r="17" spans="2:8" x14ac:dyDescent="0.25">
      <c r="B17" s="90" t="s">
        <v>211</v>
      </c>
      <c r="C17" s="87" t="s">
        <v>212</v>
      </c>
      <c r="D17" s="84"/>
      <c r="E17" s="85"/>
      <c r="F17" s="86">
        <f t="shared" si="0"/>
        <v>0</v>
      </c>
    </row>
    <row r="18" spans="2:8" x14ac:dyDescent="0.25">
      <c r="B18" s="90" t="s">
        <v>213</v>
      </c>
      <c r="C18" s="87" t="s">
        <v>214</v>
      </c>
      <c r="D18" s="84"/>
      <c r="E18" s="85"/>
      <c r="F18" s="86">
        <f t="shared" si="0"/>
        <v>0</v>
      </c>
    </row>
    <row r="19" spans="2:8" x14ac:dyDescent="0.25">
      <c r="B19" s="90" t="s">
        <v>215</v>
      </c>
      <c r="C19" s="87" t="s">
        <v>216</v>
      </c>
      <c r="D19" s="84"/>
      <c r="E19" s="85"/>
      <c r="F19" s="86">
        <f t="shared" si="0"/>
        <v>0</v>
      </c>
    </row>
    <row r="20" spans="2:8" x14ac:dyDescent="0.25">
      <c r="B20" s="91" t="s">
        <v>217</v>
      </c>
      <c r="C20" s="92" t="s">
        <v>218</v>
      </c>
      <c r="D20" s="86">
        <f>SUM(D7:D19)</f>
        <v>66166620</v>
      </c>
      <c r="E20" s="85"/>
      <c r="F20" s="86">
        <f t="shared" si="0"/>
        <v>66166620</v>
      </c>
    </row>
    <row r="21" spans="2:8" x14ac:dyDescent="0.25">
      <c r="B21" s="90" t="s">
        <v>149</v>
      </c>
      <c r="C21" s="87" t="s">
        <v>219</v>
      </c>
      <c r="D21" s="84"/>
      <c r="E21" s="85"/>
      <c r="F21" s="86">
        <f t="shared" si="0"/>
        <v>0</v>
      </c>
    </row>
    <row r="22" spans="2:8" ht="30" x14ac:dyDescent="0.25">
      <c r="B22" s="90" t="s">
        <v>220</v>
      </c>
      <c r="C22" s="87" t="s">
        <v>221</v>
      </c>
      <c r="D22" s="84"/>
      <c r="E22" s="85"/>
      <c r="F22" s="86">
        <f t="shared" si="0"/>
        <v>0</v>
      </c>
    </row>
    <row r="23" spans="2:8" x14ac:dyDescent="0.25">
      <c r="B23" s="93" t="s">
        <v>181</v>
      </c>
      <c r="C23" s="87" t="s">
        <v>222</v>
      </c>
      <c r="D23" s="84">
        <v>0</v>
      </c>
      <c r="E23" s="85"/>
      <c r="F23" s="86">
        <f t="shared" si="0"/>
        <v>0</v>
      </c>
    </row>
    <row r="24" spans="2:8" x14ac:dyDescent="0.25">
      <c r="B24" s="94" t="s">
        <v>223</v>
      </c>
      <c r="C24" s="92" t="s">
        <v>224</v>
      </c>
      <c r="D24" s="86">
        <f>SUM(D21:D23)</f>
        <v>0</v>
      </c>
      <c r="E24" s="85"/>
      <c r="F24" s="86">
        <f t="shared" si="0"/>
        <v>0</v>
      </c>
    </row>
    <row r="25" spans="2:8" x14ac:dyDescent="0.25">
      <c r="B25" s="95" t="s">
        <v>225</v>
      </c>
      <c r="C25" s="96" t="s">
        <v>226</v>
      </c>
      <c r="D25" s="86">
        <f>D20+D24</f>
        <v>66166620</v>
      </c>
      <c r="E25" s="85"/>
      <c r="F25" s="86">
        <f t="shared" si="0"/>
        <v>66166620</v>
      </c>
      <c r="H25" s="88"/>
    </row>
    <row r="26" spans="2:8" ht="30" x14ac:dyDescent="0.25">
      <c r="B26" s="97" t="s">
        <v>227</v>
      </c>
      <c r="C26" s="96" t="s">
        <v>228</v>
      </c>
      <c r="D26" s="86">
        <f>SUM('KÖH kiadás'!F435)</f>
        <v>8470785.5999999996</v>
      </c>
      <c r="E26" s="85"/>
      <c r="F26" s="86">
        <f t="shared" si="0"/>
        <v>8470785.5999999996</v>
      </c>
      <c r="H26" s="88"/>
    </row>
    <row r="27" spans="2:8" x14ac:dyDescent="0.25">
      <c r="B27" s="90" t="s">
        <v>157</v>
      </c>
      <c r="C27" s="87" t="s">
        <v>229</v>
      </c>
      <c r="D27" s="84">
        <f>SUM('KÖH kiadás'!E436)</f>
        <v>298000</v>
      </c>
      <c r="E27" s="85"/>
      <c r="F27" s="86">
        <f t="shared" si="0"/>
        <v>298000</v>
      </c>
    </row>
    <row r="28" spans="2:8" x14ac:dyDescent="0.25">
      <c r="B28" s="90" t="s">
        <v>138</v>
      </c>
      <c r="C28" s="87" t="s">
        <v>230</v>
      </c>
      <c r="D28" s="84">
        <f>SUM('KÖH kiadás'!E437)</f>
        <v>895000</v>
      </c>
      <c r="E28" s="85"/>
      <c r="F28" s="86">
        <f t="shared" si="0"/>
        <v>895000</v>
      </c>
    </row>
    <row r="29" spans="2:8" x14ac:dyDescent="0.25">
      <c r="B29" s="90" t="s">
        <v>231</v>
      </c>
      <c r="C29" s="87" t="s">
        <v>232</v>
      </c>
      <c r="D29" s="84"/>
      <c r="E29" s="85"/>
      <c r="F29" s="86">
        <f t="shared" si="0"/>
        <v>0</v>
      </c>
    </row>
    <row r="30" spans="2:8" x14ac:dyDescent="0.25">
      <c r="B30" s="94" t="s">
        <v>233</v>
      </c>
      <c r="C30" s="92" t="s">
        <v>234</v>
      </c>
      <c r="D30" s="86">
        <f>SUM(D27:D29)</f>
        <v>1193000</v>
      </c>
      <c r="E30" s="85"/>
      <c r="F30" s="86">
        <f t="shared" si="0"/>
        <v>1193000</v>
      </c>
    </row>
    <row r="31" spans="2:8" x14ac:dyDescent="0.25">
      <c r="B31" s="90" t="s">
        <v>139</v>
      </c>
      <c r="C31" s="87" t="s">
        <v>235</v>
      </c>
      <c r="D31" s="84">
        <f>SUM('KÖH kiadás'!E438)</f>
        <v>2338000</v>
      </c>
      <c r="E31" s="85"/>
      <c r="F31" s="86">
        <f t="shared" si="0"/>
        <v>2338000</v>
      </c>
    </row>
    <row r="32" spans="2:8" x14ac:dyDescent="0.25">
      <c r="B32" s="90" t="s">
        <v>236</v>
      </c>
      <c r="C32" s="87" t="s">
        <v>237</v>
      </c>
      <c r="D32" s="84">
        <f>SUM('KÖH kiadás'!E439)</f>
        <v>264000</v>
      </c>
      <c r="E32" s="85"/>
      <c r="F32" s="86">
        <f t="shared" si="0"/>
        <v>264000</v>
      </c>
    </row>
    <row r="33" spans="2:6" ht="15" customHeight="1" x14ac:dyDescent="0.25">
      <c r="B33" s="94" t="s">
        <v>238</v>
      </c>
      <c r="C33" s="92" t="s">
        <v>239</v>
      </c>
      <c r="D33" s="86">
        <f>SUM(D31:D32)</f>
        <v>2602000</v>
      </c>
      <c r="E33" s="85"/>
      <c r="F33" s="86">
        <f t="shared" si="0"/>
        <v>2602000</v>
      </c>
    </row>
    <row r="34" spans="2:6" x14ac:dyDescent="0.25">
      <c r="B34" s="90" t="s">
        <v>158</v>
      </c>
      <c r="C34" s="87" t="s">
        <v>240</v>
      </c>
      <c r="D34" s="84"/>
      <c r="E34" s="85"/>
      <c r="F34" s="86">
        <f t="shared" si="0"/>
        <v>0</v>
      </c>
    </row>
    <row r="35" spans="2:6" x14ac:dyDescent="0.25">
      <c r="B35" s="90" t="s">
        <v>145</v>
      </c>
      <c r="C35" s="87" t="s">
        <v>241</v>
      </c>
      <c r="D35" s="84"/>
      <c r="E35" s="85"/>
      <c r="F35" s="86">
        <f t="shared" si="0"/>
        <v>0</v>
      </c>
    </row>
    <row r="36" spans="2:6" x14ac:dyDescent="0.25">
      <c r="B36" s="90" t="s">
        <v>140</v>
      </c>
      <c r="C36" s="87" t="s">
        <v>242</v>
      </c>
      <c r="D36" s="84">
        <f>SUM('KÖH kiadás'!E440)</f>
        <v>32000</v>
      </c>
      <c r="E36" s="85"/>
      <c r="F36" s="86">
        <f t="shared" si="0"/>
        <v>32000</v>
      </c>
    </row>
    <row r="37" spans="2:6" x14ac:dyDescent="0.25">
      <c r="B37" s="90" t="s">
        <v>141</v>
      </c>
      <c r="C37" s="87" t="s">
        <v>243</v>
      </c>
      <c r="D37" s="84">
        <f>SUM('KÖH kiadás'!E441)</f>
        <v>10000</v>
      </c>
      <c r="E37" s="85"/>
      <c r="F37" s="86">
        <f t="shared" si="0"/>
        <v>10000</v>
      </c>
    </row>
    <row r="38" spans="2:6" x14ac:dyDescent="0.25">
      <c r="B38" s="98" t="s">
        <v>133</v>
      </c>
      <c r="C38" s="87" t="s">
        <v>244</v>
      </c>
      <c r="D38" s="84">
        <f>SUM('KÖH kiadás'!E442)</f>
        <v>0</v>
      </c>
      <c r="E38" s="85"/>
      <c r="F38" s="86">
        <f t="shared" si="0"/>
        <v>0</v>
      </c>
    </row>
    <row r="39" spans="2:6" x14ac:dyDescent="0.25">
      <c r="B39" s="93" t="s">
        <v>245</v>
      </c>
      <c r="C39" s="87" t="s">
        <v>246</v>
      </c>
      <c r="D39" s="84">
        <f>SUM('KÖH kiadás'!E443)</f>
        <v>2628000</v>
      </c>
      <c r="E39" s="85"/>
      <c r="F39" s="86">
        <f t="shared" ref="F39:F70" si="1">SUM(D39:E39)</f>
        <v>2628000</v>
      </c>
    </row>
    <row r="40" spans="2:6" x14ac:dyDescent="0.25">
      <c r="B40" s="90" t="s">
        <v>134</v>
      </c>
      <c r="C40" s="87" t="s">
        <v>247</v>
      </c>
      <c r="D40" s="84">
        <f>SUM('KÖH kiadás'!E444)</f>
        <v>2100000</v>
      </c>
      <c r="E40" s="85"/>
      <c r="F40" s="86">
        <f t="shared" si="1"/>
        <v>2100000</v>
      </c>
    </row>
    <row r="41" spans="2:6" x14ac:dyDescent="0.25">
      <c r="B41" s="94" t="s">
        <v>248</v>
      </c>
      <c r="C41" s="92" t="s">
        <v>249</v>
      </c>
      <c r="D41" s="86">
        <f>SUM(D34:D40)</f>
        <v>4770000</v>
      </c>
      <c r="E41" s="85"/>
      <c r="F41" s="86">
        <f t="shared" si="1"/>
        <v>4770000</v>
      </c>
    </row>
    <row r="42" spans="2:6" x14ac:dyDescent="0.25">
      <c r="B42" s="90" t="s">
        <v>155</v>
      </c>
      <c r="C42" s="87" t="s">
        <v>250</v>
      </c>
      <c r="D42" s="84">
        <f>SUM('KÖH kiadás'!E445)</f>
        <v>287000</v>
      </c>
      <c r="E42" s="85"/>
      <c r="F42" s="86">
        <f t="shared" si="1"/>
        <v>287000</v>
      </c>
    </row>
    <row r="43" spans="2:6" x14ac:dyDescent="0.25">
      <c r="B43" s="90" t="s">
        <v>251</v>
      </c>
      <c r="C43" s="87" t="s">
        <v>252</v>
      </c>
      <c r="D43" s="84"/>
      <c r="E43" s="85"/>
      <c r="F43" s="86">
        <f t="shared" si="1"/>
        <v>0</v>
      </c>
    </row>
    <row r="44" spans="2:6" x14ac:dyDescent="0.25">
      <c r="B44" s="94" t="s">
        <v>253</v>
      </c>
      <c r="C44" s="92" t="s">
        <v>254</v>
      </c>
      <c r="D44" s="86">
        <f>SUM(D42:D43)</f>
        <v>287000</v>
      </c>
      <c r="E44" s="85"/>
      <c r="F44" s="86">
        <f t="shared" si="1"/>
        <v>287000</v>
      </c>
    </row>
    <row r="45" spans="2:6" x14ac:dyDescent="0.25">
      <c r="B45" s="90" t="s">
        <v>142</v>
      </c>
      <c r="C45" s="87" t="s">
        <v>255</v>
      </c>
      <c r="D45" s="84">
        <f>SUM('KÖH kiadás'!E446)</f>
        <v>1270000</v>
      </c>
      <c r="E45" s="85"/>
      <c r="F45" s="86">
        <f t="shared" si="1"/>
        <v>1270000</v>
      </c>
    </row>
    <row r="46" spans="2:6" x14ac:dyDescent="0.25">
      <c r="B46" s="90" t="s">
        <v>256</v>
      </c>
      <c r="C46" s="87" t="s">
        <v>257</v>
      </c>
      <c r="D46" s="84"/>
      <c r="E46" s="85"/>
      <c r="F46" s="86">
        <f t="shared" si="1"/>
        <v>0</v>
      </c>
    </row>
    <row r="47" spans="2:6" x14ac:dyDescent="0.25">
      <c r="B47" s="90" t="s">
        <v>258</v>
      </c>
      <c r="C47" s="87" t="s">
        <v>259</v>
      </c>
      <c r="D47" s="84"/>
      <c r="E47" s="85"/>
      <c r="F47" s="86">
        <f t="shared" si="1"/>
        <v>0</v>
      </c>
    </row>
    <row r="48" spans="2:6" x14ac:dyDescent="0.25">
      <c r="B48" s="90" t="s">
        <v>260</v>
      </c>
      <c r="C48" s="87" t="s">
        <v>261</v>
      </c>
      <c r="D48" s="84"/>
      <c r="E48" s="85"/>
      <c r="F48" s="86">
        <f t="shared" si="1"/>
        <v>0</v>
      </c>
    </row>
    <row r="49" spans="2:6" x14ac:dyDescent="0.25">
      <c r="B49" s="90" t="s">
        <v>175</v>
      </c>
      <c r="C49" s="87" t="s">
        <v>262</v>
      </c>
      <c r="D49" s="84">
        <f>SUM('KÖH kiadás'!E447)</f>
        <v>5000</v>
      </c>
      <c r="E49" s="85"/>
      <c r="F49" s="86">
        <f t="shared" si="1"/>
        <v>5000</v>
      </c>
    </row>
    <row r="50" spans="2:6" x14ac:dyDescent="0.25">
      <c r="B50" s="94" t="s">
        <v>263</v>
      </c>
      <c r="C50" s="92" t="s">
        <v>264</v>
      </c>
      <c r="D50" s="86">
        <f>SUM(D45:D49)</f>
        <v>1275000</v>
      </c>
      <c r="E50" s="85"/>
      <c r="F50" s="86">
        <f t="shared" si="1"/>
        <v>1275000</v>
      </c>
    </row>
    <row r="51" spans="2:6" x14ac:dyDescent="0.25">
      <c r="B51" s="97" t="s">
        <v>135</v>
      </c>
      <c r="C51" s="96" t="s">
        <v>265</v>
      </c>
      <c r="D51" s="86">
        <f>D30+D33+D41+D44+D50</f>
        <v>10127000</v>
      </c>
      <c r="E51" s="85"/>
      <c r="F51" s="86">
        <f t="shared" si="1"/>
        <v>10127000</v>
      </c>
    </row>
    <row r="52" spans="2:6" x14ac:dyDescent="0.25">
      <c r="B52" s="99" t="s">
        <v>266</v>
      </c>
      <c r="C52" s="87" t="s">
        <v>267</v>
      </c>
      <c r="D52" s="84"/>
      <c r="E52" s="85"/>
      <c r="F52" s="86">
        <f t="shared" si="1"/>
        <v>0</v>
      </c>
    </row>
    <row r="53" spans="2:6" x14ac:dyDescent="0.25">
      <c r="B53" s="99" t="s">
        <v>165</v>
      </c>
      <c r="C53" s="87" t="s">
        <v>268</v>
      </c>
      <c r="D53" s="84"/>
      <c r="E53" s="85"/>
      <c r="F53" s="86">
        <f t="shared" si="1"/>
        <v>0</v>
      </c>
    </row>
    <row r="54" spans="2:6" x14ac:dyDescent="0.25">
      <c r="B54" s="100" t="s">
        <v>269</v>
      </c>
      <c r="C54" s="87" t="s">
        <v>270</v>
      </c>
      <c r="D54" s="84"/>
      <c r="E54" s="85"/>
      <c r="F54" s="86">
        <f t="shared" si="1"/>
        <v>0</v>
      </c>
    </row>
    <row r="55" spans="2:6" x14ac:dyDescent="0.25">
      <c r="B55" s="100" t="s">
        <v>271</v>
      </c>
      <c r="C55" s="87" t="s">
        <v>272</v>
      </c>
      <c r="D55" s="84"/>
      <c r="E55" s="85"/>
      <c r="F55" s="86">
        <f t="shared" si="1"/>
        <v>0</v>
      </c>
    </row>
    <row r="56" spans="2:6" x14ac:dyDescent="0.25">
      <c r="B56" s="100" t="s">
        <v>273</v>
      </c>
      <c r="C56" s="87" t="s">
        <v>274</v>
      </c>
      <c r="D56" s="84"/>
      <c r="E56" s="85"/>
      <c r="F56" s="86">
        <f t="shared" si="1"/>
        <v>0</v>
      </c>
    </row>
    <row r="57" spans="2:6" x14ac:dyDescent="0.25">
      <c r="B57" s="99" t="s">
        <v>275</v>
      </c>
      <c r="C57" s="87" t="s">
        <v>276</v>
      </c>
      <c r="D57" s="84"/>
      <c r="E57" s="85"/>
      <c r="F57" s="86">
        <f t="shared" si="1"/>
        <v>0</v>
      </c>
    </row>
    <row r="58" spans="2:6" x14ac:dyDescent="0.25">
      <c r="B58" s="99" t="s">
        <v>277</v>
      </c>
      <c r="C58" s="87" t="s">
        <v>278</v>
      </c>
      <c r="D58" s="84"/>
      <c r="E58" s="85"/>
      <c r="F58" s="86">
        <f t="shared" si="1"/>
        <v>0</v>
      </c>
    </row>
    <row r="59" spans="2:6" x14ac:dyDescent="0.25">
      <c r="B59" s="99" t="s">
        <v>279</v>
      </c>
      <c r="C59" s="87" t="s">
        <v>280</v>
      </c>
      <c r="D59" s="84"/>
      <c r="E59" s="85"/>
      <c r="F59" s="86">
        <f t="shared" si="1"/>
        <v>0</v>
      </c>
    </row>
    <row r="60" spans="2:6" x14ac:dyDescent="0.25">
      <c r="B60" s="101" t="s">
        <v>281</v>
      </c>
      <c r="C60" s="96" t="s">
        <v>282</v>
      </c>
      <c r="D60" s="86">
        <f>SUM(D52:D59)</f>
        <v>0</v>
      </c>
      <c r="E60" s="85"/>
      <c r="F60" s="86">
        <f t="shared" si="1"/>
        <v>0</v>
      </c>
    </row>
    <row r="61" spans="2:6" x14ac:dyDescent="0.25">
      <c r="B61" s="102" t="s">
        <v>283</v>
      </c>
      <c r="C61" s="87" t="s">
        <v>284</v>
      </c>
      <c r="D61" s="84"/>
      <c r="E61" s="85"/>
      <c r="F61" s="86">
        <f t="shared" si="1"/>
        <v>0</v>
      </c>
    </row>
    <row r="62" spans="2:6" x14ac:dyDescent="0.25">
      <c r="B62" s="102" t="s">
        <v>285</v>
      </c>
      <c r="C62" s="87" t="s">
        <v>286</v>
      </c>
      <c r="D62" s="84"/>
      <c r="E62" s="85"/>
      <c r="F62" s="86">
        <f t="shared" si="1"/>
        <v>0</v>
      </c>
    </row>
    <row r="63" spans="2:6" ht="30" x14ac:dyDescent="0.25">
      <c r="B63" s="102" t="s">
        <v>287</v>
      </c>
      <c r="C63" s="87" t="s">
        <v>288</v>
      </c>
      <c r="D63" s="84"/>
      <c r="E63" s="85"/>
      <c r="F63" s="86">
        <f t="shared" si="1"/>
        <v>0</v>
      </c>
    </row>
    <row r="64" spans="2:6" ht="30" x14ac:dyDescent="0.25">
      <c r="B64" s="102" t="s">
        <v>289</v>
      </c>
      <c r="C64" s="87" t="s">
        <v>290</v>
      </c>
      <c r="D64" s="84"/>
      <c r="E64" s="85"/>
      <c r="F64" s="86">
        <f t="shared" si="1"/>
        <v>0</v>
      </c>
    </row>
    <row r="65" spans="2:6" ht="30" x14ac:dyDescent="0.25">
      <c r="B65" s="102" t="s">
        <v>291</v>
      </c>
      <c r="C65" s="87" t="s">
        <v>292</v>
      </c>
      <c r="D65" s="84"/>
      <c r="E65" s="85"/>
      <c r="F65" s="86">
        <f t="shared" si="1"/>
        <v>0</v>
      </c>
    </row>
    <row r="66" spans="2:6" x14ac:dyDescent="0.25">
      <c r="B66" s="102" t="s">
        <v>293</v>
      </c>
      <c r="C66" s="87" t="s">
        <v>294</v>
      </c>
      <c r="D66" s="84">
        <f>'[5]Átadott pe.'!D35</f>
        <v>0</v>
      </c>
      <c r="E66" s="85"/>
      <c r="F66" s="86">
        <f t="shared" si="1"/>
        <v>0</v>
      </c>
    </row>
    <row r="67" spans="2:6" ht="30" x14ac:dyDescent="0.25">
      <c r="B67" s="102" t="s">
        <v>295</v>
      </c>
      <c r="C67" s="87" t="s">
        <v>296</v>
      </c>
      <c r="D67" s="84"/>
      <c r="E67" s="85"/>
      <c r="F67" s="86">
        <f t="shared" si="1"/>
        <v>0</v>
      </c>
    </row>
    <row r="68" spans="2:6" ht="30" x14ac:dyDescent="0.25">
      <c r="B68" s="102" t="s">
        <v>297</v>
      </c>
      <c r="C68" s="87" t="s">
        <v>298</v>
      </c>
      <c r="D68" s="84"/>
      <c r="E68" s="85"/>
      <c r="F68" s="86">
        <f t="shared" si="1"/>
        <v>0</v>
      </c>
    </row>
    <row r="69" spans="2:6" x14ac:dyDescent="0.25">
      <c r="B69" s="102" t="s">
        <v>299</v>
      </c>
      <c r="C69" s="87" t="s">
        <v>300</v>
      </c>
      <c r="D69" s="84"/>
      <c r="E69" s="85"/>
      <c r="F69" s="86">
        <f t="shared" si="1"/>
        <v>0</v>
      </c>
    </row>
    <row r="70" spans="2:6" x14ac:dyDescent="0.25">
      <c r="B70" s="103" t="s">
        <v>301</v>
      </c>
      <c r="C70" s="87" t="s">
        <v>302</v>
      </c>
      <c r="D70" s="84"/>
      <c r="E70" s="85"/>
      <c r="F70" s="86">
        <f t="shared" si="1"/>
        <v>0</v>
      </c>
    </row>
    <row r="71" spans="2:6" x14ac:dyDescent="0.25">
      <c r="B71" s="102" t="s">
        <v>303</v>
      </c>
      <c r="C71" s="87" t="s">
        <v>304</v>
      </c>
      <c r="D71" s="84"/>
      <c r="E71" s="85"/>
      <c r="F71" s="86">
        <f t="shared" ref="F71:F123" si="2">SUM(D71:E71)</f>
        <v>0</v>
      </c>
    </row>
    <row r="72" spans="2:6" x14ac:dyDescent="0.25">
      <c r="B72" s="103" t="s">
        <v>305</v>
      </c>
      <c r="C72" s="87" t="s">
        <v>598</v>
      </c>
      <c r="D72" s="84"/>
      <c r="E72" s="85"/>
      <c r="F72" s="86">
        <f t="shared" si="2"/>
        <v>0</v>
      </c>
    </row>
    <row r="73" spans="2:6" x14ac:dyDescent="0.25">
      <c r="B73" s="103" t="s">
        <v>307</v>
      </c>
      <c r="C73" s="87" t="s">
        <v>598</v>
      </c>
      <c r="D73" s="84"/>
      <c r="E73" s="85"/>
      <c r="F73" s="86">
        <f t="shared" si="2"/>
        <v>0</v>
      </c>
    </row>
    <row r="74" spans="2:6" x14ac:dyDescent="0.25">
      <c r="B74" s="101" t="s">
        <v>308</v>
      </c>
      <c r="C74" s="96" t="s">
        <v>309</v>
      </c>
      <c r="D74" s="86">
        <f>SUM(D61:D73)</f>
        <v>0</v>
      </c>
      <c r="E74" s="85"/>
      <c r="F74" s="86">
        <f t="shared" si="2"/>
        <v>0</v>
      </c>
    </row>
    <row r="75" spans="2:6" ht="15.75" x14ac:dyDescent="0.25">
      <c r="B75" s="104" t="s">
        <v>310</v>
      </c>
      <c r="C75" s="96"/>
      <c r="D75" s="86">
        <f>D25+D26+D51+D60+D74</f>
        <v>84764405.599999994</v>
      </c>
      <c r="E75" s="85"/>
      <c r="F75" s="86">
        <f t="shared" si="2"/>
        <v>84764405.599999994</v>
      </c>
    </row>
    <row r="76" spans="2:6" x14ac:dyDescent="0.25">
      <c r="B76" s="105" t="s">
        <v>311</v>
      </c>
      <c r="C76" s="87" t="s">
        <v>312</v>
      </c>
      <c r="D76" s="84"/>
      <c r="E76" s="85"/>
      <c r="F76" s="86">
        <f t="shared" si="2"/>
        <v>0</v>
      </c>
    </row>
    <row r="77" spans="2:6" x14ac:dyDescent="0.25">
      <c r="B77" s="105" t="s">
        <v>313</v>
      </c>
      <c r="C77" s="87" t="s">
        <v>314</v>
      </c>
      <c r="D77" s="84"/>
      <c r="E77" s="85"/>
      <c r="F77" s="86">
        <f t="shared" si="2"/>
        <v>0</v>
      </c>
    </row>
    <row r="78" spans="2:6" x14ac:dyDescent="0.25">
      <c r="B78" s="105" t="s">
        <v>315</v>
      </c>
      <c r="C78" s="87" t="s">
        <v>316</v>
      </c>
      <c r="D78" s="84"/>
      <c r="E78" s="85"/>
      <c r="F78" s="86">
        <f t="shared" si="2"/>
        <v>0</v>
      </c>
    </row>
    <row r="79" spans="2:6" x14ac:dyDescent="0.25">
      <c r="B79" s="105" t="s">
        <v>143</v>
      </c>
      <c r="C79" s="87" t="s">
        <v>317</v>
      </c>
      <c r="D79" s="84">
        <f>SUM('KÖH kiadás'!E449)</f>
        <v>0</v>
      </c>
      <c r="E79" s="85"/>
      <c r="F79" s="86">
        <f t="shared" si="2"/>
        <v>0</v>
      </c>
    </row>
    <row r="80" spans="2:6" x14ac:dyDescent="0.25">
      <c r="B80" s="93" t="s">
        <v>318</v>
      </c>
      <c r="C80" s="87" t="s">
        <v>319</v>
      </c>
      <c r="D80" s="84"/>
      <c r="E80" s="85"/>
      <c r="F80" s="86">
        <f t="shared" si="2"/>
        <v>0</v>
      </c>
    </row>
    <row r="81" spans="2:6" x14ac:dyDescent="0.25">
      <c r="B81" s="93" t="s">
        <v>320</v>
      </c>
      <c r="C81" s="87" t="s">
        <v>321</v>
      </c>
      <c r="D81" s="84"/>
      <c r="E81" s="85"/>
      <c r="F81" s="86">
        <f t="shared" si="2"/>
        <v>0</v>
      </c>
    </row>
    <row r="82" spans="2:6" x14ac:dyDescent="0.25">
      <c r="B82" s="93" t="s">
        <v>136</v>
      </c>
      <c r="C82" s="87" t="s">
        <v>322</v>
      </c>
      <c r="D82" s="84">
        <f>SUM('KÖH kiadás'!E450)</f>
        <v>0</v>
      </c>
      <c r="E82" s="85"/>
      <c r="F82" s="86">
        <f t="shared" si="2"/>
        <v>0</v>
      </c>
    </row>
    <row r="83" spans="2:6" x14ac:dyDescent="0.25">
      <c r="B83" s="106" t="s">
        <v>323</v>
      </c>
      <c r="C83" s="96" t="s">
        <v>324</v>
      </c>
      <c r="D83" s="86">
        <f>SUM(D76:D82)</f>
        <v>0</v>
      </c>
      <c r="E83" s="85"/>
      <c r="F83" s="86">
        <f t="shared" si="2"/>
        <v>0</v>
      </c>
    </row>
    <row r="84" spans="2:6" x14ac:dyDescent="0.25">
      <c r="B84" s="99" t="s">
        <v>147</v>
      </c>
      <c r="C84" s="87" t="s">
        <v>325</v>
      </c>
      <c r="D84" s="84"/>
      <c r="E84" s="85"/>
      <c r="F84" s="86">
        <f t="shared" si="2"/>
        <v>0</v>
      </c>
    </row>
    <row r="85" spans="2:6" x14ac:dyDescent="0.25">
      <c r="B85" s="99" t="s">
        <v>326</v>
      </c>
      <c r="C85" s="87" t="s">
        <v>327</v>
      </c>
      <c r="D85" s="84"/>
      <c r="E85" s="85"/>
      <c r="F85" s="86">
        <f t="shared" si="2"/>
        <v>0</v>
      </c>
    </row>
    <row r="86" spans="2:6" x14ac:dyDescent="0.25">
      <c r="B86" s="99" t="s">
        <v>328</v>
      </c>
      <c r="C86" s="87" t="s">
        <v>329</v>
      </c>
      <c r="D86" s="84"/>
      <c r="E86" s="85"/>
      <c r="F86" s="86">
        <f t="shared" si="2"/>
        <v>0</v>
      </c>
    </row>
    <row r="87" spans="2:6" x14ac:dyDescent="0.25">
      <c r="B87" s="99" t="s">
        <v>148</v>
      </c>
      <c r="C87" s="87" t="s">
        <v>330</v>
      </c>
      <c r="D87" s="84"/>
      <c r="E87" s="85"/>
      <c r="F87" s="86">
        <f t="shared" si="2"/>
        <v>0</v>
      </c>
    </row>
    <row r="88" spans="2:6" x14ac:dyDescent="0.25">
      <c r="B88" s="101" t="s">
        <v>331</v>
      </c>
      <c r="C88" s="96" t="s">
        <v>332</v>
      </c>
      <c r="D88" s="86">
        <f>SUM(D84:D87)</f>
        <v>0</v>
      </c>
      <c r="E88" s="85"/>
      <c r="F88" s="86">
        <f t="shared" si="2"/>
        <v>0</v>
      </c>
    </row>
    <row r="89" spans="2:6" ht="30" x14ac:dyDescent="0.25">
      <c r="B89" s="99" t="s">
        <v>333</v>
      </c>
      <c r="C89" s="87" t="s">
        <v>334</v>
      </c>
      <c r="D89" s="84"/>
      <c r="E89" s="85"/>
      <c r="F89" s="86">
        <f t="shared" si="2"/>
        <v>0</v>
      </c>
    </row>
    <row r="90" spans="2:6" ht="30" x14ac:dyDescent="0.25">
      <c r="B90" s="99" t="s">
        <v>335</v>
      </c>
      <c r="C90" s="87" t="s">
        <v>336</v>
      </c>
      <c r="D90" s="84"/>
      <c r="E90" s="85"/>
      <c r="F90" s="86">
        <f t="shared" si="2"/>
        <v>0</v>
      </c>
    </row>
    <row r="91" spans="2:6" ht="30" x14ac:dyDescent="0.25">
      <c r="B91" s="99" t="s">
        <v>337</v>
      </c>
      <c r="C91" s="87" t="s">
        <v>338</v>
      </c>
      <c r="D91" s="84"/>
      <c r="E91" s="85"/>
      <c r="F91" s="86">
        <f t="shared" si="2"/>
        <v>0</v>
      </c>
    </row>
    <row r="92" spans="2:6" x14ac:dyDescent="0.25">
      <c r="B92" s="99" t="s">
        <v>339</v>
      </c>
      <c r="C92" s="87" t="s">
        <v>340</v>
      </c>
      <c r="D92" s="84"/>
      <c r="E92" s="85"/>
      <c r="F92" s="86">
        <f t="shared" si="2"/>
        <v>0</v>
      </c>
    </row>
    <row r="93" spans="2:6" ht="30" x14ac:dyDescent="0.25">
      <c r="B93" s="99" t="s">
        <v>341</v>
      </c>
      <c r="C93" s="87" t="s">
        <v>342</v>
      </c>
      <c r="D93" s="84"/>
      <c r="E93" s="85"/>
      <c r="F93" s="86">
        <f t="shared" si="2"/>
        <v>0</v>
      </c>
    </row>
    <row r="94" spans="2:6" ht="30" x14ac:dyDescent="0.25">
      <c r="B94" s="99" t="s">
        <v>343</v>
      </c>
      <c r="C94" s="87" t="s">
        <v>344</v>
      </c>
      <c r="D94" s="84"/>
      <c r="E94" s="85"/>
      <c r="F94" s="86">
        <f t="shared" si="2"/>
        <v>0</v>
      </c>
    </row>
    <row r="95" spans="2:6" x14ac:dyDescent="0.25">
      <c r="B95" s="99" t="s">
        <v>345</v>
      </c>
      <c r="C95" s="87" t="s">
        <v>346</v>
      </c>
      <c r="D95" s="84"/>
      <c r="E95" s="85"/>
      <c r="F95" s="86">
        <f t="shared" si="2"/>
        <v>0</v>
      </c>
    </row>
    <row r="96" spans="2:6" x14ac:dyDescent="0.25">
      <c r="B96" s="99" t="s">
        <v>347</v>
      </c>
      <c r="C96" s="87" t="s">
        <v>348</v>
      </c>
      <c r="D96" s="84"/>
      <c r="E96" s="85"/>
      <c r="F96" s="86">
        <f t="shared" si="2"/>
        <v>0</v>
      </c>
    </row>
    <row r="97" spans="2:23" x14ac:dyDescent="0.25">
      <c r="B97" s="101" t="s">
        <v>349</v>
      </c>
      <c r="C97" s="96" t="s">
        <v>350</v>
      </c>
      <c r="D97" s="86">
        <f>SUM(D89:D96)</f>
        <v>0</v>
      </c>
      <c r="E97" s="85"/>
      <c r="F97" s="86">
        <f t="shared" si="2"/>
        <v>0</v>
      </c>
    </row>
    <row r="98" spans="2:23" ht="15.75" x14ac:dyDescent="0.25">
      <c r="B98" s="104" t="s">
        <v>351</v>
      </c>
      <c r="C98" s="104"/>
      <c r="D98" s="86">
        <f>D83+D88+D97</f>
        <v>0</v>
      </c>
      <c r="E98" s="85"/>
      <c r="F98" s="86">
        <f t="shared" si="2"/>
        <v>0</v>
      </c>
    </row>
    <row r="99" spans="2:23" ht="15.75" x14ac:dyDescent="0.25">
      <c r="B99" s="107" t="s">
        <v>352</v>
      </c>
      <c r="C99" s="108" t="s">
        <v>353</v>
      </c>
      <c r="D99" s="86">
        <f>D75+D98</f>
        <v>84764405.599999994</v>
      </c>
      <c r="E99" s="85"/>
      <c r="F99" s="86">
        <f t="shared" si="2"/>
        <v>84764405.599999994</v>
      </c>
    </row>
    <row r="100" spans="2:23" x14ac:dyDescent="0.25">
      <c r="B100" s="99" t="s">
        <v>354</v>
      </c>
      <c r="C100" s="90" t="s">
        <v>355</v>
      </c>
      <c r="D100" s="84"/>
      <c r="E100" s="99"/>
      <c r="F100" s="86">
        <f t="shared" si="2"/>
        <v>0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2:23" ht="30" x14ac:dyDescent="0.25">
      <c r="B101" s="99" t="s">
        <v>356</v>
      </c>
      <c r="C101" s="90" t="s">
        <v>357</v>
      </c>
      <c r="D101" s="84"/>
      <c r="E101" s="99"/>
      <c r="F101" s="86">
        <f t="shared" si="2"/>
        <v>0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2:23" x14ac:dyDescent="0.25">
      <c r="B102" s="99" t="s">
        <v>358</v>
      </c>
      <c r="C102" s="90" t="s">
        <v>359</v>
      </c>
      <c r="D102" s="84"/>
      <c r="E102" s="99"/>
      <c r="F102" s="86">
        <f t="shared" si="2"/>
        <v>0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2:23" x14ac:dyDescent="0.25">
      <c r="B103" s="110" t="s">
        <v>360</v>
      </c>
      <c r="C103" s="94" t="s">
        <v>361</v>
      </c>
      <c r="D103" s="86">
        <f>SUM(D100:D102)</f>
        <v>0</v>
      </c>
      <c r="E103" s="110"/>
      <c r="F103" s="86">
        <f t="shared" si="2"/>
        <v>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2:23" x14ac:dyDescent="0.25">
      <c r="B104" s="112" t="s">
        <v>362</v>
      </c>
      <c r="C104" s="90" t="s">
        <v>363</v>
      </c>
      <c r="D104" s="84"/>
      <c r="E104" s="112"/>
      <c r="F104" s="86">
        <f t="shared" si="2"/>
        <v>0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2:23" x14ac:dyDescent="0.25">
      <c r="B105" s="112" t="s">
        <v>364</v>
      </c>
      <c r="C105" s="90" t="s">
        <v>365</v>
      </c>
      <c r="D105" s="84"/>
      <c r="E105" s="112"/>
      <c r="F105" s="86">
        <f t="shared" si="2"/>
        <v>0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2:23" x14ac:dyDescent="0.25">
      <c r="B106" s="99" t="s">
        <v>366</v>
      </c>
      <c r="C106" s="90" t="s">
        <v>367</v>
      </c>
      <c r="D106" s="84"/>
      <c r="E106" s="99"/>
      <c r="F106" s="86">
        <f t="shared" si="2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2:23" x14ac:dyDescent="0.25">
      <c r="B107" s="99" t="s">
        <v>368</v>
      </c>
      <c r="C107" s="90" t="s">
        <v>369</v>
      </c>
      <c r="D107" s="84"/>
      <c r="E107" s="99"/>
      <c r="F107" s="86">
        <f t="shared" si="2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2:23" x14ac:dyDescent="0.25">
      <c r="B108" s="114" t="s">
        <v>370</v>
      </c>
      <c r="C108" s="94" t="s">
        <v>371</v>
      </c>
      <c r="D108" s="86">
        <f>SUM(D104:D107)</f>
        <v>0</v>
      </c>
      <c r="E108" s="114"/>
      <c r="F108" s="86">
        <f t="shared" si="2"/>
        <v>0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2:23" x14ac:dyDescent="0.25">
      <c r="B109" s="112" t="s">
        <v>372</v>
      </c>
      <c r="C109" s="90" t="s">
        <v>373</v>
      </c>
      <c r="D109" s="84"/>
      <c r="E109" s="112"/>
      <c r="F109" s="86">
        <f t="shared" si="2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2:23" x14ac:dyDescent="0.25">
      <c r="B110" s="112" t="s">
        <v>374</v>
      </c>
      <c r="C110" s="90" t="s">
        <v>375</v>
      </c>
      <c r="D110" s="84"/>
      <c r="E110" s="112"/>
      <c r="F110" s="86">
        <f t="shared" si="2"/>
        <v>0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2:23" x14ac:dyDescent="0.25">
      <c r="B111" s="114" t="s">
        <v>376</v>
      </c>
      <c r="C111" s="94" t="s">
        <v>377</v>
      </c>
      <c r="D111" s="84"/>
      <c r="E111" s="112"/>
      <c r="F111" s="86">
        <f t="shared" si="2"/>
        <v>0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2:23" x14ac:dyDescent="0.25">
      <c r="B112" s="112" t="s">
        <v>378</v>
      </c>
      <c r="C112" s="90" t="s">
        <v>379</v>
      </c>
      <c r="D112" s="84"/>
      <c r="E112" s="112"/>
      <c r="F112" s="86">
        <f t="shared" si="2"/>
        <v>0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2:23" x14ac:dyDescent="0.25">
      <c r="B113" s="112" t="s">
        <v>380</v>
      </c>
      <c r="C113" s="90" t="s">
        <v>381</v>
      </c>
      <c r="D113" s="84"/>
      <c r="E113" s="112"/>
      <c r="F113" s="86">
        <f t="shared" si="2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2:23" x14ac:dyDescent="0.25">
      <c r="B114" s="112" t="s">
        <v>382</v>
      </c>
      <c r="C114" s="90" t="s">
        <v>383</v>
      </c>
      <c r="D114" s="84"/>
      <c r="E114" s="112"/>
      <c r="F114" s="86">
        <f t="shared" si="2"/>
        <v>0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2:23" x14ac:dyDescent="0.25">
      <c r="B115" s="116" t="s">
        <v>384</v>
      </c>
      <c r="C115" s="97" t="s">
        <v>385</v>
      </c>
      <c r="D115" s="86">
        <f>D103+D108+D109+D110+D111+D112+D113+D114</f>
        <v>0</v>
      </c>
      <c r="E115" s="114"/>
      <c r="F115" s="86">
        <f t="shared" si="2"/>
        <v>0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</row>
    <row r="116" spans="2:23" x14ac:dyDescent="0.25">
      <c r="B116" s="112" t="s">
        <v>386</v>
      </c>
      <c r="C116" s="90" t="s">
        <v>387</v>
      </c>
      <c r="D116" s="84"/>
      <c r="E116" s="112"/>
      <c r="F116" s="86">
        <f t="shared" si="2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2:23" x14ac:dyDescent="0.25">
      <c r="B117" s="99" t="s">
        <v>388</v>
      </c>
      <c r="C117" s="90" t="s">
        <v>389</v>
      </c>
      <c r="D117" s="84"/>
      <c r="E117" s="99"/>
      <c r="F117" s="86">
        <f t="shared" si="2"/>
        <v>0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2:23" x14ac:dyDescent="0.25">
      <c r="B118" s="112" t="s">
        <v>390</v>
      </c>
      <c r="C118" s="90" t="s">
        <v>391</v>
      </c>
      <c r="D118" s="84"/>
      <c r="E118" s="112"/>
      <c r="F118" s="86">
        <f t="shared" si="2"/>
        <v>0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2:23" x14ac:dyDescent="0.25">
      <c r="B119" s="112" t="s">
        <v>392</v>
      </c>
      <c r="C119" s="90" t="s">
        <v>393</v>
      </c>
      <c r="D119" s="84"/>
      <c r="E119" s="112"/>
      <c r="F119" s="86">
        <f t="shared" si="2"/>
        <v>0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2:23" x14ac:dyDescent="0.25">
      <c r="B120" s="116" t="s">
        <v>394</v>
      </c>
      <c r="C120" s="97" t="s">
        <v>395</v>
      </c>
      <c r="D120" s="84"/>
      <c r="E120" s="114"/>
      <c r="F120" s="86">
        <f t="shared" si="2"/>
        <v>0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2:23" x14ac:dyDescent="0.25">
      <c r="B121" s="99" t="s">
        <v>396</v>
      </c>
      <c r="C121" s="90" t="s">
        <v>397</v>
      </c>
      <c r="D121" s="84"/>
      <c r="E121" s="99"/>
      <c r="F121" s="86">
        <f t="shared" si="2"/>
        <v>0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2:23" ht="15.75" x14ac:dyDescent="0.25">
      <c r="B122" s="117" t="s">
        <v>398</v>
      </c>
      <c r="C122" s="118" t="s">
        <v>399</v>
      </c>
      <c r="D122" s="86">
        <f>D115+D120+D121</f>
        <v>0</v>
      </c>
      <c r="E122" s="114"/>
      <c r="F122" s="86">
        <f t="shared" si="2"/>
        <v>0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</row>
    <row r="123" spans="2:23" ht="15.75" x14ac:dyDescent="0.25">
      <c r="B123" s="119" t="s">
        <v>400</v>
      </c>
      <c r="C123" s="120"/>
      <c r="D123" s="86">
        <f>D99+D122</f>
        <v>84764405.599999994</v>
      </c>
      <c r="E123" s="85"/>
      <c r="F123" s="86">
        <f t="shared" si="2"/>
        <v>84764405.599999994</v>
      </c>
    </row>
    <row r="125" spans="2:23" x14ac:dyDescent="0.25">
      <c r="D125" s="373">
        <f>SUM('KÖH kiadás'!F452)</f>
        <v>84764405.599999994</v>
      </c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zoomScaleNormal="100" workbookViewId="0">
      <selection activeCell="B1" sqref="B1"/>
    </sheetView>
  </sheetViews>
  <sheetFormatPr defaultRowHeight="15" x14ac:dyDescent="0.25"/>
  <cols>
    <col min="1" max="1" width="2.5703125" style="77" customWidth="1"/>
    <col min="2" max="2" width="74.140625" style="77" customWidth="1"/>
    <col min="3" max="3" width="8.7109375" style="77"/>
    <col min="4" max="4" width="17.140625" style="77" customWidth="1"/>
    <col min="5" max="5" width="10.85546875" style="77" customWidth="1"/>
    <col min="6" max="6" width="15.5703125" style="77" customWidth="1"/>
    <col min="7" max="256" width="8.7109375" style="77"/>
    <col min="257" max="257" width="105.140625" style="77" customWidth="1"/>
    <col min="258" max="258" width="8.7109375" style="77"/>
    <col min="259" max="259" width="17.140625" style="77" customWidth="1"/>
    <col min="260" max="260" width="20.140625" style="77" customWidth="1"/>
    <col min="261" max="261" width="18.85546875" style="77" customWidth="1"/>
    <col min="262" max="262" width="15.5703125" style="77" customWidth="1"/>
    <col min="263" max="512" width="8.7109375" style="77"/>
    <col min="513" max="513" width="105.140625" style="77" customWidth="1"/>
    <col min="514" max="514" width="8.7109375" style="77"/>
    <col min="515" max="515" width="17.140625" style="77" customWidth="1"/>
    <col min="516" max="516" width="20.140625" style="77" customWidth="1"/>
    <col min="517" max="517" width="18.85546875" style="77" customWidth="1"/>
    <col min="518" max="518" width="15.5703125" style="77" customWidth="1"/>
    <col min="519" max="768" width="8.7109375" style="77"/>
    <col min="769" max="769" width="105.140625" style="77" customWidth="1"/>
    <col min="770" max="770" width="8.7109375" style="77"/>
    <col min="771" max="771" width="17.140625" style="77" customWidth="1"/>
    <col min="772" max="772" width="20.140625" style="77" customWidth="1"/>
    <col min="773" max="773" width="18.85546875" style="77" customWidth="1"/>
    <col min="774" max="774" width="15.5703125" style="77" customWidth="1"/>
    <col min="775" max="1024" width="8.7109375" style="77"/>
    <col min="1025" max="1025" width="105.140625" style="77" customWidth="1"/>
    <col min="1026" max="1026" width="8.7109375" style="77"/>
    <col min="1027" max="1027" width="17.140625" style="77" customWidth="1"/>
    <col min="1028" max="1028" width="20.140625" style="77" customWidth="1"/>
    <col min="1029" max="1029" width="18.85546875" style="77" customWidth="1"/>
    <col min="1030" max="1030" width="15.5703125" style="77" customWidth="1"/>
    <col min="1031" max="1280" width="8.7109375" style="77"/>
    <col min="1281" max="1281" width="105.140625" style="77" customWidth="1"/>
    <col min="1282" max="1282" width="8.7109375" style="77"/>
    <col min="1283" max="1283" width="17.140625" style="77" customWidth="1"/>
    <col min="1284" max="1284" width="20.140625" style="77" customWidth="1"/>
    <col min="1285" max="1285" width="18.85546875" style="77" customWidth="1"/>
    <col min="1286" max="1286" width="15.5703125" style="77" customWidth="1"/>
    <col min="1287" max="1536" width="8.7109375" style="77"/>
    <col min="1537" max="1537" width="105.140625" style="77" customWidth="1"/>
    <col min="1538" max="1538" width="8.7109375" style="77"/>
    <col min="1539" max="1539" width="17.140625" style="77" customWidth="1"/>
    <col min="1540" max="1540" width="20.140625" style="77" customWidth="1"/>
    <col min="1541" max="1541" width="18.85546875" style="77" customWidth="1"/>
    <col min="1542" max="1542" width="15.5703125" style="77" customWidth="1"/>
    <col min="1543" max="1792" width="8.7109375" style="77"/>
    <col min="1793" max="1793" width="105.140625" style="77" customWidth="1"/>
    <col min="1794" max="1794" width="8.7109375" style="77"/>
    <col min="1795" max="1795" width="17.140625" style="77" customWidth="1"/>
    <col min="1796" max="1796" width="20.140625" style="77" customWidth="1"/>
    <col min="1797" max="1797" width="18.85546875" style="77" customWidth="1"/>
    <col min="1798" max="1798" width="15.5703125" style="77" customWidth="1"/>
    <col min="1799" max="2048" width="8.7109375" style="77"/>
    <col min="2049" max="2049" width="105.140625" style="77" customWidth="1"/>
    <col min="2050" max="2050" width="8.7109375" style="77"/>
    <col min="2051" max="2051" width="17.140625" style="77" customWidth="1"/>
    <col min="2052" max="2052" width="20.140625" style="77" customWidth="1"/>
    <col min="2053" max="2053" width="18.85546875" style="77" customWidth="1"/>
    <col min="2054" max="2054" width="15.5703125" style="77" customWidth="1"/>
    <col min="2055" max="2304" width="8.7109375" style="77"/>
    <col min="2305" max="2305" width="105.140625" style="77" customWidth="1"/>
    <col min="2306" max="2306" width="8.7109375" style="77"/>
    <col min="2307" max="2307" width="17.140625" style="77" customWidth="1"/>
    <col min="2308" max="2308" width="20.140625" style="77" customWidth="1"/>
    <col min="2309" max="2309" width="18.85546875" style="77" customWidth="1"/>
    <col min="2310" max="2310" width="15.5703125" style="77" customWidth="1"/>
    <col min="2311" max="2560" width="8.7109375" style="77"/>
    <col min="2561" max="2561" width="105.140625" style="77" customWidth="1"/>
    <col min="2562" max="2562" width="8.7109375" style="77"/>
    <col min="2563" max="2563" width="17.140625" style="77" customWidth="1"/>
    <col min="2564" max="2564" width="20.140625" style="77" customWidth="1"/>
    <col min="2565" max="2565" width="18.85546875" style="77" customWidth="1"/>
    <col min="2566" max="2566" width="15.5703125" style="77" customWidth="1"/>
    <col min="2567" max="2816" width="8.7109375" style="77"/>
    <col min="2817" max="2817" width="105.140625" style="77" customWidth="1"/>
    <col min="2818" max="2818" width="8.7109375" style="77"/>
    <col min="2819" max="2819" width="17.140625" style="77" customWidth="1"/>
    <col min="2820" max="2820" width="20.140625" style="77" customWidth="1"/>
    <col min="2821" max="2821" width="18.85546875" style="77" customWidth="1"/>
    <col min="2822" max="2822" width="15.5703125" style="77" customWidth="1"/>
    <col min="2823" max="3072" width="8.7109375" style="77"/>
    <col min="3073" max="3073" width="105.140625" style="77" customWidth="1"/>
    <col min="3074" max="3074" width="8.7109375" style="77"/>
    <col min="3075" max="3075" width="17.140625" style="77" customWidth="1"/>
    <col min="3076" max="3076" width="20.140625" style="77" customWidth="1"/>
    <col min="3077" max="3077" width="18.85546875" style="77" customWidth="1"/>
    <col min="3078" max="3078" width="15.5703125" style="77" customWidth="1"/>
    <col min="3079" max="3328" width="8.7109375" style="77"/>
    <col min="3329" max="3329" width="105.140625" style="77" customWidth="1"/>
    <col min="3330" max="3330" width="8.7109375" style="77"/>
    <col min="3331" max="3331" width="17.140625" style="77" customWidth="1"/>
    <col min="3332" max="3332" width="20.140625" style="77" customWidth="1"/>
    <col min="3333" max="3333" width="18.85546875" style="77" customWidth="1"/>
    <col min="3334" max="3334" width="15.5703125" style="77" customWidth="1"/>
    <col min="3335" max="3584" width="8.7109375" style="77"/>
    <col min="3585" max="3585" width="105.140625" style="77" customWidth="1"/>
    <col min="3586" max="3586" width="8.7109375" style="77"/>
    <col min="3587" max="3587" width="17.140625" style="77" customWidth="1"/>
    <col min="3588" max="3588" width="20.140625" style="77" customWidth="1"/>
    <col min="3589" max="3589" width="18.85546875" style="77" customWidth="1"/>
    <col min="3590" max="3590" width="15.5703125" style="77" customWidth="1"/>
    <col min="3591" max="3840" width="8.7109375" style="77"/>
    <col min="3841" max="3841" width="105.140625" style="77" customWidth="1"/>
    <col min="3842" max="3842" width="8.7109375" style="77"/>
    <col min="3843" max="3843" width="17.140625" style="77" customWidth="1"/>
    <col min="3844" max="3844" width="20.140625" style="77" customWidth="1"/>
    <col min="3845" max="3845" width="18.85546875" style="77" customWidth="1"/>
    <col min="3846" max="3846" width="15.5703125" style="77" customWidth="1"/>
    <col min="3847" max="4096" width="8.7109375" style="77"/>
    <col min="4097" max="4097" width="105.140625" style="77" customWidth="1"/>
    <col min="4098" max="4098" width="8.7109375" style="77"/>
    <col min="4099" max="4099" width="17.140625" style="77" customWidth="1"/>
    <col min="4100" max="4100" width="20.140625" style="77" customWidth="1"/>
    <col min="4101" max="4101" width="18.85546875" style="77" customWidth="1"/>
    <col min="4102" max="4102" width="15.5703125" style="77" customWidth="1"/>
    <col min="4103" max="4352" width="8.7109375" style="77"/>
    <col min="4353" max="4353" width="105.140625" style="77" customWidth="1"/>
    <col min="4354" max="4354" width="8.7109375" style="77"/>
    <col min="4355" max="4355" width="17.140625" style="77" customWidth="1"/>
    <col min="4356" max="4356" width="20.140625" style="77" customWidth="1"/>
    <col min="4357" max="4357" width="18.85546875" style="77" customWidth="1"/>
    <col min="4358" max="4358" width="15.5703125" style="77" customWidth="1"/>
    <col min="4359" max="4608" width="8.7109375" style="77"/>
    <col min="4609" max="4609" width="105.140625" style="77" customWidth="1"/>
    <col min="4610" max="4610" width="8.7109375" style="77"/>
    <col min="4611" max="4611" width="17.140625" style="77" customWidth="1"/>
    <col min="4612" max="4612" width="20.140625" style="77" customWidth="1"/>
    <col min="4613" max="4613" width="18.85546875" style="77" customWidth="1"/>
    <col min="4614" max="4614" width="15.5703125" style="77" customWidth="1"/>
    <col min="4615" max="4864" width="8.7109375" style="77"/>
    <col min="4865" max="4865" width="105.140625" style="77" customWidth="1"/>
    <col min="4866" max="4866" width="8.7109375" style="77"/>
    <col min="4867" max="4867" width="17.140625" style="77" customWidth="1"/>
    <col min="4868" max="4868" width="20.140625" style="77" customWidth="1"/>
    <col min="4869" max="4869" width="18.85546875" style="77" customWidth="1"/>
    <col min="4870" max="4870" width="15.5703125" style="77" customWidth="1"/>
    <col min="4871" max="5120" width="8.7109375" style="77"/>
    <col min="5121" max="5121" width="105.140625" style="77" customWidth="1"/>
    <col min="5122" max="5122" width="8.7109375" style="77"/>
    <col min="5123" max="5123" width="17.140625" style="77" customWidth="1"/>
    <col min="5124" max="5124" width="20.140625" style="77" customWidth="1"/>
    <col min="5125" max="5125" width="18.85546875" style="77" customWidth="1"/>
    <col min="5126" max="5126" width="15.5703125" style="77" customWidth="1"/>
    <col min="5127" max="5376" width="8.7109375" style="77"/>
    <col min="5377" max="5377" width="105.140625" style="77" customWidth="1"/>
    <col min="5378" max="5378" width="8.7109375" style="77"/>
    <col min="5379" max="5379" width="17.140625" style="77" customWidth="1"/>
    <col min="5380" max="5380" width="20.140625" style="77" customWidth="1"/>
    <col min="5381" max="5381" width="18.85546875" style="77" customWidth="1"/>
    <col min="5382" max="5382" width="15.5703125" style="77" customWidth="1"/>
    <col min="5383" max="5632" width="8.7109375" style="77"/>
    <col min="5633" max="5633" width="105.140625" style="77" customWidth="1"/>
    <col min="5634" max="5634" width="8.7109375" style="77"/>
    <col min="5635" max="5635" width="17.140625" style="77" customWidth="1"/>
    <col min="5636" max="5636" width="20.140625" style="77" customWidth="1"/>
    <col min="5637" max="5637" width="18.85546875" style="77" customWidth="1"/>
    <col min="5638" max="5638" width="15.5703125" style="77" customWidth="1"/>
    <col min="5639" max="5888" width="8.7109375" style="77"/>
    <col min="5889" max="5889" width="105.140625" style="77" customWidth="1"/>
    <col min="5890" max="5890" width="8.7109375" style="77"/>
    <col min="5891" max="5891" width="17.140625" style="77" customWidth="1"/>
    <col min="5892" max="5892" width="20.140625" style="77" customWidth="1"/>
    <col min="5893" max="5893" width="18.85546875" style="77" customWidth="1"/>
    <col min="5894" max="5894" width="15.5703125" style="77" customWidth="1"/>
    <col min="5895" max="6144" width="8.7109375" style="77"/>
    <col min="6145" max="6145" width="105.140625" style="77" customWidth="1"/>
    <col min="6146" max="6146" width="8.7109375" style="77"/>
    <col min="6147" max="6147" width="17.140625" style="77" customWidth="1"/>
    <col min="6148" max="6148" width="20.140625" style="77" customWidth="1"/>
    <col min="6149" max="6149" width="18.85546875" style="77" customWidth="1"/>
    <col min="6150" max="6150" width="15.5703125" style="77" customWidth="1"/>
    <col min="6151" max="6400" width="8.7109375" style="77"/>
    <col min="6401" max="6401" width="105.140625" style="77" customWidth="1"/>
    <col min="6402" max="6402" width="8.7109375" style="77"/>
    <col min="6403" max="6403" width="17.140625" style="77" customWidth="1"/>
    <col min="6404" max="6404" width="20.140625" style="77" customWidth="1"/>
    <col min="6405" max="6405" width="18.85546875" style="77" customWidth="1"/>
    <col min="6406" max="6406" width="15.5703125" style="77" customWidth="1"/>
    <col min="6407" max="6656" width="8.7109375" style="77"/>
    <col min="6657" max="6657" width="105.140625" style="77" customWidth="1"/>
    <col min="6658" max="6658" width="8.7109375" style="77"/>
    <col min="6659" max="6659" width="17.140625" style="77" customWidth="1"/>
    <col min="6660" max="6660" width="20.140625" style="77" customWidth="1"/>
    <col min="6661" max="6661" width="18.85546875" style="77" customWidth="1"/>
    <col min="6662" max="6662" width="15.5703125" style="77" customWidth="1"/>
    <col min="6663" max="6912" width="8.7109375" style="77"/>
    <col min="6913" max="6913" width="105.140625" style="77" customWidth="1"/>
    <col min="6914" max="6914" width="8.7109375" style="77"/>
    <col min="6915" max="6915" width="17.140625" style="77" customWidth="1"/>
    <col min="6916" max="6916" width="20.140625" style="77" customWidth="1"/>
    <col min="6917" max="6917" width="18.85546875" style="77" customWidth="1"/>
    <col min="6918" max="6918" width="15.5703125" style="77" customWidth="1"/>
    <col min="6919" max="7168" width="8.7109375" style="77"/>
    <col min="7169" max="7169" width="105.140625" style="77" customWidth="1"/>
    <col min="7170" max="7170" width="8.7109375" style="77"/>
    <col min="7171" max="7171" width="17.140625" style="77" customWidth="1"/>
    <col min="7172" max="7172" width="20.140625" style="77" customWidth="1"/>
    <col min="7173" max="7173" width="18.85546875" style="77" customWidth="1"/>
    <col min="7174" max="7174" width="15.5703125" style="77" customWidth="1"/>
    <col min="7175" max="7424" width="8.7109375" style="77"/>
    <col min="7425" max="7425" width="105.140625" style="77" customWidth="1"/>
    <col min="7426" max="7426" width="8.7109375" style="77"/>
    <col min="7427" max="7427" width="17.140625" style="77" customWidth="1"/>
    <col min="7428" max="7428" width="20.140625" style="77" customWidth="1"/>
    <col min="7429" max="7429" width="18.85546875" style="77" customWidth="1"/>
    <col min="7430" max="7430" width="15.5703125" style="77" customWidth="1"/>
    <col min="7431" max="7680" width="8.7109375" style="77"/>
    <col min="7681" max="7681" width="105.140625" style="77" customWidth="1"/>
    <col min="7682" max="7682" width="8.7109375" style="77"/>
    <col min="7683" max="7683" width="17.140625" style="77" customWidth="1"/>
    <col min="7684" max="7684" width="20.140625" style="77" customWidth="1"/>
    <col min="7685" max="7685" width="18.85546875" style="77" customWidth="1"/>
    <col min="7686" max="7686" width="15.5703125" style="77" customWidth="1"/>
    <col min="7687" max="7936" width="8.7109375" style="77"/>
    <col min="7937" max="7937" width="105.140625" style="77" customWidth="1"/>
    <col min="7938" max="7938" width="8.7109375" style="77"/>
    <col min="7939" max="7939" width="17.140625" style="77" customWidth="1"/>
    <col min="7940" max="7940" width="20.140625" style="77" customWidth="1"/>
    <col min="7941" max="7941" width="18.85546875" style="77" customWidth="1"/>
    <col min="7942" max="7942" width="15.5703125" style="77" customWidth="1"/>
    <col min="7943" max="8192" width="8.7109375" style="77"/>
    <col min="8193" max="8193" width="105.140625" style="77" customWidth="1"/>
    <col min="8194" max="8194" width="8.7109375" style="77"/>
    <col min="8195" max="8195" width="17.140625" style="77" customWidth="1"/>
    <col min="8196" max="8196" width="20.140625" style="77" customWidth="1"/>
    <col min="8197" max="8197" width="18.85546875" style="77" customWidth="1"/>
    <col min="8198" max="8198" width="15.5703125" style="77" customWidth="1"/>
    <col min="8199" max="8448" width="8.7109375" style="77"/>
    <col min="8449" max="8449" width="105.140625" style="77" customWidth="1"/>
    <col min="8450" max="8450" width="8.7109375" style="77"/>
    <col min="8451" max="8451" width="17.140625" style="77" customWidth="1"/>
    <col min="8452" max="8452" width="20.140625" style="77" customWidth="1"/>
    <col min="8453" max="8453" width="18.85546875" style="77" customWidth="1"/>
    <col min="8454" max="8454" width="15.5703125" style="77" customWidth="1"/>
    <col min="8455" max="8704" width="8.7109375" style="77"/>
    <col min="8705" max="8705" width="105.140625" style="77" customWidth="1"/>
    <col min="8706" max="8706" width="8.7109375" style="77"/>
    <col min="8707" max="8707" width="17.140625" style="77" customWidth="1"/>
    <col min="8708" max="8708" width="20.140625" style="77" customWidth="1"/>
    <col min="8709" max="8709" width="18.85546875" style="77" customWidth="1"/>
    <col min="8710" max="8710" width="15.5703125" style="77" customWidth="1"/>
    <col min="8711" max="8960" width="8.7109375" style="77"/>
    <col min="8961" max="8961" width="105.140625" style="77" customWidth="1"/>
    <col min="8962" max="8962" width="8.7109375" style="77"/>
    <col min="8963" max="8963" width="17.140625" style="77" customWidth="1"/>
    <col min="8964" max="8964" width="20.140625" style="77" customWidth="1"/>
    <col min="8965" max="8965" width="18.85546875" style="77" customWidth="1"/>
    <col min="8966" max="8966" width="15.5703125" style="77" customWidth="1"/>
    <col min="8967" max="9216" width="8.7109375" style="77"/>
    <col min="9217" max="9217" width="105.140625" style="77" customWidth="1"/>
    <col min="9218" max="9218" width="8.7109375" style="77"/>
    <col min="9219" max="9219" width="17.140625" style="77" customWidth="1"/>
    <col min="9220" max="9220" width="20.140625" style="77" customWidth="1"/>
    <col min="9221" max="9221" width="18.85546875" style="77" customWidth="1"/>
    <col min="9222" max="9222" width="15.5703125" style="77" customWidth="1"/>
    <col min="9223" max="9472" width="8.7109375" style="77"/>
    <col min="9473" max="9473" width="105.140625" style="77" customWidth="1"/>
    <col min="9474" max="9474" width="8.7109375" style="77"/>
    <col min="9475" max="9475" width="17.140625" style="77" customWidth="1"/>
    <col min="9476" max="9476" width="20.140625" style="77" customWidth="1"/>
    <col min="9477" max="9477" width="18.85546875" style="77" customWidth="1"/>
    <col min="9478" max="9478" width="15.5703125" style="77" customWidth="1"/>
    <col min="9479" max="9728" width="8.7109375" style="77"/>
    <col min="9729" max="9729" width="105.140625" style="77" customWidth="1"/>
    <col min="9730" max="9730" width="8.7109375" style="77"/>
    <col min="9731" max="9731" width="17.140625" style="77" customWidth="1"/>
    <col min="9732" max="9732" width="20.140625" style="77" customWidth="1"/>
    <col min="9733" max="9733" width="18.85546875" style="77" customWidth="1"/>
    <col min="9734" max="9734" width="15.5703125" style="77" customWidth="1"/>
    <col min="9735" max="9984" width="8.7109375" style="77"/>
    <col min="9985" max="9985" width="105.140625" style="77" customWidth="1"/>
    <col min="9986" max="9986" width="8.7109375" style="77"/>
    <col min="9987" max="9987" width="17.140625" style="77" customWidth="1"/>
    <col min="9988" max="9988" width="20.140625" style="77" customWidth="1"/>
    <col min="9989" max="9989" width="18.85546875" style="77" customWidth="1"/>
    <col min="9990" max="9990" width="15.5703125" style="77" customWidth="1"/>
    <col min="9991" max="10240" width="8.7109375" style="77"/>
    <col min="10241" max="10241" width="105.140625" style="77" customWidth="1"/>
    <col min="10242" max="10242" width="8.7109375" style="77"/>
    <col min="10243" max="10243" width="17.140625" style="77" customWidth="1"/>
    <col min="10244" max="10244" width="20.140625" style="77" customWidth="1"/>
    <col min="10245" max="10245" width="18.85546875" style="77" customWidth="1"/>
    <col min="10246" max="10246" width="15.5703125" style="77" customWidth="1"/>
    <col min="10247" max="10496" width="8.7109375" style="77"/>
    <col min="10497" max="10497" width="105.140625" style="77" customWidth="1"/>
    <col min="10498" max="10498" width="8.7109375" style="77"/>
    <col min="10499" max="10499" width="17.140625" style="77" customWidth="1"/>
    <col min="10500" max="10500" width="20.140625" style="77" customWidth="1"/>
    <col min="10501" max="10501" width="18.85546875" style="77" customWidth="1"/>
    <col min="10502" max="10502" width="15.5703125" style="77" customWidth="1"/>
    <col min="10503" max="10752" width="8.7109375" style="77"/>
    <col min="10753" max="10753" width="105.140625" style="77" customWidth="1"/>
    <col min="10754" max="10754" width="8.7109375" style="77"/>
    <col min="10755" max="10755" width="17.140625" style="77" customWidth="1"/>
    <col min="10756" max="10756" width="20.140625" style="77" customWidth="1"/>
    <col min="10757" max="10757" width="18.85546875" style="77" customWidth="1"/>
    <col min="10758" max="10758" width="15.5703125" style="77" customWidth="1"/>
    <col min="10759" max="11008" width="8.7109375" style="77"/>
    <col min="11009" max="11009" width="105.140625" style="77" customWidth="1"/>
    <col min="11010" max="11010" width="8.7109375" style="77"/>
    <col min="11011" max="11011" width="17.140625" style="77" customWidth="1"/>
    <col min="11012" max="11012" width="20.140625" style="77" customWidth="1"/>
    <col min="11013" max="11013" width="18.85546875" style="77" customWidth="1"/>
    <col min="11014" max="11014" width="15.5703125" style="77" customWidth="1"/>
    <col min="11015" max="11264" width="8.7109375" style="77"/>
    <col min="11265" max="11265" width="105.140625" style="77" customWidth="1"/>
    <col min="11266" max="11266" width="8.7109375" style="77"/>
    <col min="11267" max="11267" width="17.140625" style="77" customWidth="1"/>
    <col min="11268" max="11268" width="20.140625" style="77" customWidth="1"/>
    <col min="11269" max="11269" width="18.85546875" style="77" customWidth="1"/>
    <col min="11270" max="11270" width="15.5703125" style="77" customWidth="1"/>
    <col min="11271" max="11520" width="8.7109375" style="77"/>
    <col min="11521" max="11521" width="105.140625" style="77" customWidth="1"/>
    <col min="11522" max="11522" width="8.7109375" style="77"/>
    <col min="11523" max="11523" width="17.140625" style="77" customWidth="1"/>
    <col min="11524" max="11524" width="20.140625" style="77" customWidth="1"/>
    <col min="11525" max="11525" width="18.85546875" style="77" customWidth="1"/>
    <col min="11526" max="11526" width="15.5703125" style="77" customWidth="1"/>
    <col min="11527" max="11776" width="8.7109375" style="77"/>
    <col min="11777" max="11777" width="105.140625" style="77" customWidth="1"/>
    <col min="11778" max="11778" width="8.7109375" style="77"/>
    <col min="11779" max="11779" width="17.140625" style="77" customWidth="1"/>
    <col min="11780" max="11780" width="20.140625" style="77" customWidth="1"/>
    <col min="11781" max="11781" width="18.85546875" style="77" customWidth="1"/>
    <col min="11782" max="11782" width="15.5703125" style="77" customWidth="1"/>
    <col min="11783" max="12032" width="8.7109375" style="77"/>
    <col min="12033" max="12033" width="105.140625" style="77" customWidth="1"/>
    <col min="12034" max="12034" width="8.7109375" style="77"/>
    <col min="12035" max="12035" width="17.140625" style="77" customWidth="1"/>
    <col min="12036" max="12036" width="20.140625" style="77" customWidth="1"/>
    <col min="12037" max="12037" width="18.85546875" style="77" customWidth="1"/>
    <col min="12038" max="12038" width="15.5703125" style="77" customWidth="1"/>
    <col min="12039" max="12288" width="8.7109375" style="77"/>
    <col min="12289" max="12289" width="105.140625" style="77" customWidth="1"/>
    <col min="12290" max="12290" width="8.7109375" style="77"/>
    <col min="12291" max="12291" width="17.140625" style="77" customWidth="1"/>
    <col min="12292" max="12292" width="20.140625" style="77" customWidth="1"/>
    <col min="12293" max="12293" width="18.85546875" style="77" customWidth="1"/>
    <col min="12294" max="12294" width="15.5703125" style="77" customWidth="1"/>
    <col min="12295" max="12544" width="8.7109375" style="77"/>
    <col min="12545" max="12545" width="105.140625" style="77" customWidth="1"/>
    <col min="12546" max="12546" width="8.7109375" style="77"/>
    <col min="12547" max="12547" width="17.140625" style="77" customWidth="1"/>
    <col min="12548" max="12548" width="20.140625" style="77" customWidth="1"/>
    <col min="12549" max="12549" width="18.85546875" style="77" customWidth="1"/>
    <col min="12550" max="12550" width="15.5703125" style="77" customWidth="1"/>
    <col min="12551" max="12800" width="8.7109375" style="77"/>
    <col min="12801" max="12801" width="105.140625" style="77" customWidth="1"/>
    <col min="12802" max="12802" width="8.7109375" style="77"/>
    <col min="12803" max="12803" width="17.140625" style="77" customWidth="1"/>
    <col min="12804" max="12804" width="20.140625" style="77" customWidth="1"/>
    <col min="12805" max="12805" width="18.85546875" style="77" customWidth="1"/>
    <col min="12806" max="12806" width="15.5703125" style="77" customWidth="1"/>
    <col min="12807" max="13056" width="8.7109375" style="77"/>
    <col min="13057" max="13057" width="105.140625" style="77" customWidth="1"/>
    <col min="13058" max="13058" width="8.7109375" style="77"/>
    <col min="13059" max="13059" width="17.140625" style="77" customWidth="1"/>
    <col min="13060" max="13060" width="20.140625" style="77" customWidth="1"/>
    <col min="13061" max="13061" width="18.85546875" style="77" customWidth="1"/>
    <col min="13062" max="13062" width="15.5703125" style="77" customWidth="1"/>
    <col min="13063" max="13312" width="8.7109375" style="77"/>
    <col min="13313" max="13313" width="105.140625" style="77" customWidth="1"/>
    <col min="13314" max="13314" width="8.7109375" style="77"/>
    <col min="13315" max="13315" width="17.140625" style="77" customWidth="1"/>
    <col min="13316" max="13316" width="20.140625" style="77" customWidth="1"/>
    <col min="13317" max="13317" width="18.85546875" style="77" customWidth="1"/>
    <col min="13318" max="13318" width="15.5703125" style="77" customWidth="1"/>
    <col min="13319" max="13568" width="8.7109375" style="77"/>
    <col min="13569" max="13569" width="105.140625" style="77" customWidth="1"/>
    <col min="13570" max="13570" width="8.7109375" style="77"/>
    <col min="13571" max="13571" width="17.140625" style="77" customWidth="1"/>
    <col min="13572" max="13572" width="20.140625" style="77" customWidth="1"/>
    <col min="13573" max="13573" width="18.85546875" style="77" customWidth="1"/>
    <col min="13574" max="13574" width="15.5703125" style="77" customWidth="1"/>
    <col min="13575" max="13824" width="8.7109375" style="77"/>
    <col min="13825" max="13825" width="105.140625" style="77" customWidth="1"/>
    <col min="13826" max="13826" width="8.7109375" style="77"/>
    <col min="13827" max="13827" width="17.140625" style="77" customWidth="1"/>
    <col min="13828" max="13828" width="20.140625" style="77" customWidth="1"/>
    <col min="13829" max="13829" width="18.85546875" style="77" customWidth="1"/>
    <col min="13830" max="13830" width="15.5703125" style="77" customWidth="1"/>
    <col min="13831" max="14080" width="8.7109375" style="77"/>
    <col min="14081" max="14081" width="105.140625" style="77" customWidth="1"/>
    <col min="14082" max="14082" width="8.7109375" style="77"/>
    <col min="14083" max="14083" width="17.140625" style="77" customWidth="1"/>
    <col min="14084" max="14084" width="20.140625" style="77" customWidth="1"/>
    <col min="14085" max="14085" width="18.85546875" style="77" customWidth="1"/>
    <col min="14086" max="14086" width="15.5703125" style="77" customWidth="1"/>
    <col min="14087" max="14336" width="8.7109375" style="77"/>
    <col min="14337" max="14337" width="105.140625" style="77" customWidth="1"/>
    <col min="14338" max="14338" width="8.7109375" style="77"/>
    <col min="14339" max="14339" width="17.140625" style="77" customWidth="1"/>
    <col min="14340" max="14340" width="20.140625" style="77" customWidth="1"/>
    <col min="14341" max="14341" width="18.85546875" style="77" customWidth="1"/>
    <col min="14342" max="14342" width="15.5703125" style="77" customWidth="1"/>
    <col min="14343" max="14592" width="8.7109375" style="77"/>
    <col min="14593" max="14593" width="105.140625" style="77" customWidth="1"/>
    <col min="14594" max="14594" width="8.7109375" style="77"/>
    <col min="14595" max="14595" width="17.140625" style="77" customWidth="1"/>
    <col min="14596" max="14596" width="20.140625" style="77" customWidth="1"/>
    <col min="14597" max="14597" width="18.85546875" style="77" customWidth="1"/>
    <col min="14598" max="14598" width="15.5703125" style="77" customWidth="1"/>
    <col min="14599" max="14848" width="8.7109375" style="77"/>
    <col min="14849" max="14849" width="105.140625" style="77" customWidth="1"/>
    <col min="14850" max="14850" width="8.7109375" style="77"/>
    <col min="14851" max="14851" width="17.140625" style="77" customWidth="1"/>
    <col min="14852" max="14852" width="20.140625" style="77" customWidth="1"/>
    <col min="14853" max="14853" width="18.85546875" style="77" customWidth="1"/>
    <col min="14854" max="14854" width="15.5703125" style="77" customWidth="1"/>
    <col min="14855" max="15104" width="8.7109375" style="77"/>
    <col min="15105" max="15105" width="105.140625" style="77" customWidth="1"/>
    <col min="15106" max="15106" width="8.7109375" style="77"/>
    <col min="15107" max="15107" width="17.140625" style="77" customWidth="1"/>
    <col min="15108" max="15108" width="20.140625" style="77" customWidth="1"/>
    <col min="15109" max="15109" width="18.85546875" style="77" customWidth="1"/>
    <col min="15110" max="15110" width="15.5703125" style="77" customWidth="1"/>
    <col min="15111" max="15360" width="8.7109375" style="77"/>
    <col min="15361" max="15361" width="105.140625" style="77" customWidth="1"/>
    <col min="15362" max="15362" width="8.7109375" style="77"/>
    <col min="15363" max="15363" width="17.140625" style="77" customWidth="1"/>
    <col min="15364" max="15364" width="20.140625" style="77" customWidth="1"/>
    <col min="15365" max="15365" width="18.85546875" style="77" customWidth="1"/>
    <col min="15366" max="15366" width="15.5703125" style="77" customWidth="1"/>
    <col min="15367" max="15616" width="8.7109375" style="77"/>
    <col min="15617" max="15617" width="105.140625" style="77" customWidth="1"/>
    <col min="15618" max="15618" width="8.7109375" style="77"/>
    <col min="15619" max="15619" width="17.140625" style="77" customWidth="1"/>
    <col min="15620" max="15620" width="20.140625" style="77" customWidth="1"/>
    <col min="15621" max="15621" width="18.85546875" style="77" customWidth="1"/>
    <col min="15622" max="15622" width="15.5703125" style="77" customWidth="1"/>
    <col min="15623" max="15872" width="8.7109375" style="77"/>
    <col min="15873" max="15873" width="105.140625" style="77" customWidth="1"/>
    <col min="15874" max="15874" width="8.7109375" style="77"/>
    <col min="15875" max="15875" width="17.140625" style="77" customWidth="1"/>
    <col min="15876" max="15876" width="20.140625" style="77" customWidth="1"/>
    <col min="15877" max="15877" width="18.85546875" style="77" customWidth="1"/>
    <col min="15878" max="15878" width="15.5703125" style="77" customWidth="1"/>
    <col min="15879" max="16128" width="8.7109375" style="77"/>
    <col min="16129" max="16129" width="105.140625" style="77" customWidth="1"/>
    <col min="16130" max="16130" width="8.7109375" style="77"/>
    <col min="16131" max="16131" width="17.140625" style="77" customWidth="1"/>
    <col min="16132" max="16132" width="20.140625" style="77" customWidth="1"/>
    <col min="16133" max="16133" width="18.85546875" style="77" customWidth="1"/>
    <col min="16134" max="16134" width="15.5703125" style="77" customWidth="1"/>
    <col min="16135" max="16384" width="8.7109375" style="77"/>
  </cols>
  <sheetData>
    <row r="1" spans="1:6" x14ac:dyDescent="0.25">
      <c r="A1" s="76" t="s">
        <v>186</v>
      </c>
      <c r="B1" s="679" t="s">
        <v>1304</v>
      </c>
    </row>
    <row r="2" spans="1:6" ht="21" customHeight="1" x14ac:dyDescent="0.25">
      <c r="B2" s="786" t="str">
        <f>'Kiemelt EI.'!B2:C2</f>
        <v>Az önkormányzat 2022.évi költségvetése</v>
      </c>
      <c r="C2" s="787"/>
      <c r="D2" s="787"/>
      <c r="E2" s="787"/>
      <c r="F2" s="788"/>
    </row>
    <row r="3" spans="1:6" ht="18.75" customHeight="1" x14ac:dyDescent="0.25">
      <c r="B3" s="789" t="s">
        <v>187</v>
      </c>
      <c r="C3" s="787"/>
      <c r="D3" s="787"/>
      <c r="E3" s="787"/>
      <c r="F3" s="788"/>
    </row>
    <row r="4" spans="1:6" ht="18" x14ac:dyDescent="0.25">
      <c r="B4" s="78"/>
    </row>
    <row r="5" spans="1:6" x14ac:dyDescent="0.25">
      <c r="B5" s="79" t="s">
        <v>814</v>
      </c>
    </row>
    <row r="6" spans="1:6" ht="45" x14ac:dyDescent="0.3">
      <c r="B6" s="80" t="s">
        <v>189</v>
      </c>
      <c r="C6" s="81" t="s">
        <v>190</v>
      </c>
      <c r="D6" s="82" t="s">
        <v>191</v>
      </c>
      <c r="E6" s="82" t="s">
        <v>192</v>
      </c>
      <c r="F6" s="82" t="s">
        <v>193</v>
      </c>
    </row>
    <row r="7" spans="1:6" x14ac:dyDescent="0.25">
      <c r="B7" s="83" t="s">
        <v>194</v>
      </c>
      <c r="C7" s="83" t="s">
        <v>195</v>
      </c>
      <c r="D7" s="84">
        <f>SUM('Kiadások ÖNK'!D7+'Kiadások KÖH'!D7)</f>
        <v>105081862</v>
      </c>
      <c r="E7" s="85"/>
      <c r="F7" s="86">
        <f t="shared" ref="F7:F38" si="0">SUM(D7:E7)</f>
        <v>105081862</v>
      </c>
    </row>
    <row r="8" spans="1:6" x14ac:dyDescent="0.25">
      <c r="B8" s="83" t="s">
        <v>196</v>
      </c>
      <c r="C8" s="87" t="s">
        <v>197</v>
      </c>
      <c r="D8" s="84">
        <f>SUM('Kiadások ÖNK'!D8+'Kiadások KÖH'!D8)</f>
        <v>2147500</v>
      </c>
      <c r="E8" s="85"/>
      <c r="F8" s="86">
        <f t="shared" si="0"/>
        <v>2147500</v>
      </c>
    </row>
    <row r="9" spans="1:6" x14ac:dyDescent="0.25">
      <c r="B9" s="83" t="s">
        <v>198</v>
      </c>
      <c r="C9" s="87" t="s">
        <v>199</v>
      </c>
      <c r="D9" s="84"/>
      <c r="E9" s="85"/>
      <c r="F9" s="86">
        <f t="shared" si="0"/>
        <v>0</v>
      </c>
    </row>
    <row r="10" spans="1:6" x14ac:dyDescent="0.25">
      <c r="B10" s="89" t="s">
        <v>200</v>
      </c>
      <c r="C10" s="87" t="s">
        <v>201</v>
      </c>
      <c r="D10" s="84"/>
      <c r="E10" s="85"/>
      <c r="F10" s="86">
        <f t="shared" si="0"/>
        <v>0</v>
      </c>
    </row>
    <row r="11" spans="1:6" x14ac:dyDescent="0.25">
      <c r="B11" s="89" t="s">
        <v>202</v>
      </c>
      <c r="C11" s="87" t="s">
        <v>203</v>
      </c>
      <c r="D11" s="84"/>
      <c r="E11" s="85"/>
      <c r="F11" s="86">
        <f t="shared" si="0"/>
        <v>0</v>
      </c>
    </row>
    <row r="12" spans="1:6" x14ac:dyDescent="0.25">
      <c r="B12" s="89" t="s">
        <v>16</v>
      </c>
      <c r="C12" s="87" t="s">
        <v>204</v>
      </c>
      <c r="D12" s="84">
        <f>SUM('Kiadások ÖNK'!D12+'Kiadások KÖH'!D12)</f>
        <v>2501760</v>
      </c>
      <c r="E12" s="85"/>
      <c r="F12" s="86">
        <f t="shared" si="0"/>
        <v>2501760</v>
      </c>
    </row>
    <row r="13" spans="1:6" x14ac:dyDescent="0.25">
      <c r="B13" s="89" t="s">
        <v>205</v>
      </c>
      <c r="C13" s="87" t="s">
        <v>206</v>
      </c>
      <c r="D13" s="84">
        <f>SUM('Kiadások ÖNK'!D13+'Kiadások KÖH'!D13)</f>
        <v>3020000</v>
      </c>
      <c r="E13" s="85"/>
      <c r="F13" s="86">
        <f t="shared" si="0"/>
        <v>3020000</v>
      </c>
    </row>
    <row r="14" spans="1:6" x14ac:dyDescent="0.25">
      <c r="B14" s="89" t="s">
        <v>179</v>
      </c>
      <c r="C14" s="87" t="s">
        <v>207</v>
      </c>
      <c r="D14" s="84"/>
      <c r="E14" s="85"/>
      <c r="F14" s="86">
        <f t="shared" si="0"/>
        <v>0</v>
      </c>
    </row>
    <row r="15" spans="1:6" x14ac:dyDescent="0.25">
      <c r="B15" s="90" t="s">
        <v>34</v>
      </c>
      <c r="C15" s="87" t="s">
        <v>208</v>
      </c>
      <c r="D15" s="84">
        <f>SUM('Kiadások ÖNK'!D15+'Kiadások KÖH'!D15)</f>
        <v>761820</v>
      </c>
      <c r="E15" s="85"/>
      <c r="F15" s="86">
        <f t="shared" si="0"/>
        <v>761820</v>
      </c>
    </row>
    <row r="16" spans="1:6" x14ac:dyDescent="0.25">
      <c r="B16" s="90" t="s">
        <v>209</v>
      </c>
      <c r="C16" s="87" t="s">
        <v>210</v>
      </c>
      <c r="D16" s="84">
        <f>SUM('Kiadások ÖNK'!D16+'Kiadások KÖH'!D16)</f>
        <v>450000</v>
      </c>
      <c r="E16" s="85"/>
      <c r="F16" s="86">
        <f t="shared" si="0"/>
        <v>450000</v>
      </c>
    </row>
    <row r="17" spans="2:6" x14ac:dyDescent="0.25">
      <c r="B17" s="90" t="s">
        <v>211</v>
      </c>
      <c r="C17" s="87" t="s">
        <v>212</v>
      </c>
      <c r="D17" s="84"/>
      <c r="E17" s="85"/>
      <c r="F17" s="86">
        <f t="shared" si="0"/>
        <v>0</v>
      </c>
    </row>
    <row r="18" spans="2:6" x14ac:dyDescent="0.25">
      <c r="B18" s="90" t="s">
        <v>213</v>
      </c>
      <c r="C18" s="87" t="s">
        <v>214</v>
      </c>
      <c r="D18" s="84"/>
      <c r="E18" s="85"/>
      <c r="F18" s="86">
        <f t="shared" si="0"/>
        <v>0</v>
      </c>
    </row>
    <row r="19" spans="2:6" x14ac:dyDescent="0.25">
      <c r="B19" s="90" t="s">
        <v>215</v>
      </c>
      <c r="C19" s="87" t="s">
        <v>216</v>
      </c>
      <c r="D19" s="84">
        <f>SUM('Kiadások ÖNK'!D19+'Kiadások KÖH'!D19)</f>
        <v>3840000</v>
      </c>
      <c r="E19" s="85"/>
      <c r="F19" s="86">
        <f t="shared" si="0"/>
        <v>3840000</v>
      </c>
    </row>
    <row r="20" spans="2:6" x14ac:dyDescent="0.25">
      <c r="B20" s="91" t="s">
        <v>217</v>
      </c>
      <c r="C20" s="92" t="s">
        <v>218</v>
      </c>
      <c r="D20" s="86">
        <f>SUM(D7:D19)</f>
        <v>117802942</v>
      </c>
      <c r="E20" s="85"/>
      <c r="F20" s="86">
        <f t="shared" si="0"/>
        <v>117802942</v>
      </c>
    </row>
    <row r="21" spans="2:6" x14ac:dyDescent="0.25">
      <c r="B21" s="90" t="s">
        <v>149</v>
      </c>
      <c r="C21" s="87" t="s">
        <v>219</v>
      </c>
      <c r="D21" s="84">
        <f>SUM('Kiadások ÖNK'!D21)</f>
        <v>11568712</v>
      </c>
      <c r="E21" s="85"/>
      <c r="F21" s="86">
        <f t="shared" si="0"/>
        <v>11568712</v>
      </c>
    </row>
    <row r="22" spans="2:6" ht="30" x14ac:dyDescent="0.25">
      <c r="B22" s="90" t="s">
        <v>220</v>
      </c>
      <c r="C22" s="87" t="s">
        <v>221</v>
      </c>
      <c r="D22" s="84">
        <f>SUM('Kiadások ÖNK'!D22+'Kiadások KÖH'!D22)</f>
        <v>2686145</v>
      </c>
      <c r="E22" s="85"/>
      <c r="F22" s="86">
        <f t="shared" si="0"/>
        <v>2686145</v>
      </c>
    </row>
    <row r="23" spans="2:6" x14ac:dyDescent="0.25">
      <c r="B23" s="93" t="s">
        <v>181</v>
      </c>
      <c r="C23" s="87" t="s">
        <v>222</v>
      </c>
      <c r="D23" s="84">
        <f>SUM('Kiadások ÖNK'!D23+'Kiadások KÖH'!D23)</f>
        <v>130000</v>
      </c>
      <c r="E23" s="85"/>
      <c r="F23" s="86">
        <f t="shared" si="0"/>
        <v>130000</v>
      </c>
    </row>
    <row r="24" spans="2:6" x14ac:dyDescent="0.25">
      <c r="B24" s="94" t="s">
        <v>223</v>
      </c>
      <c r="C24" s="92" t="s">
        <v>224</v>
      </c>
      <c r="D24" s="86">
        <f>SUM(D21:D23)</f>
        <v>14384857</v>
      </c>
      <c r="E24" s="85"/>
      <c r="F24" s="86">
        <f t="shared" si="0"/>
        <v>14384857</v>
      </c>
    </row>
    <row r="25" spans="2:6" ht="19.5" customHeight="1" x14ac:dyDescent="0.25">
      <c r="B25" s="95" t="s">
        <v>225</v>
      </c>
      <c r="C25" s="96" t="s">
        <v>226</v>
      </c>
      <c r="D25" s="86">
        <f>SUM(D20+D24)</f>
        <v>132187799</v>
      </c>
      <c r="E25" s="85"/>
      <c r="F25" s="86">
        <f t="shared" si="0"/>
        <v>132187799</v>
      </c>
    </row>
    <row r="26" spans="2:6" ht="22.5" customHeight="1" x14ac:dyDescent="0.25">
      <c r="B26" s="97" t="s">
        <v>227</v>
      </c>
      <c r="C26" s="96" t="s">
        <v>228</v>
      </c>
      <c r="D26" s="86">
        <f>SUM('Kiadások ÖNK'!D26+'Kiadások KÖH'!D26)</f>
        <v>17715586.75</v>
      </c>
      <c r="E26" s="85"/>
      <c r="F26" s="86">
        <f t="shared" si="0"/>
        <v>17715586.75</v>
      </c>
    </row>
    <row r="27" spans="2:6" x14ac:dyDescent="0.25">
      <c r="B27" s="90" t="s">
        <v>157</v>
      </c>
      <c r="C27" s="87" t="s">
        <v>229</v>
      </c>
      <c r="D27" s="84">
        <f>SUM('Kiadások ÖNK'!D27+'Kiadások KÖH'!D27)</f>
        <v>1128000</v>
      </c>
      <c r="E27" s="85"/>
      <c r="F27" s="86">
        <f t="shared" si="0"/>
        <v>1128000</v>
      </c>
    </row>
    <row r="28" spans="2:6" x14ac:dyDescent="0.25">
      <c r="B28" s="90" t="s">
        <v>138</v>
      </c>
      <c r="C28" s="87" t="s">
        <v>230</v>
      </c>
      <c r="D28" s="84">
        <f>SUM('Kiadások ÖNK'!D28+'Kiadások KÖH'!D28)</f>
        <v>3665000</v>
      </c>
      <c r="E28" s="85"/>
      <c r="F28" s="86">
        <f t="shared" si="0"/>
        <v>3665000</v>
      </c>
    </row>
    <row r="29" spans="2:6" x14ac:dyDescent="0.25">
      <c r="B29" s="90" t="s">
        <v>231</v>
      </c>
      <c r="C29" s="87" t="s">
        <v>232</v>
      </c>
      <c r="D29" s="84"/>
      <c r="E29" s="85"/>
      <c r="F29" s="86">
        <f t="shared" si="0"/>
        <v>0</v>
      </c>
    </row>
    <row r="30" spans="2:6" x14ac:dyDescent="0.25">
      <c r="B30" s="94" t="s">
        <v>233</v>
      </c>
      <c r="C30" s="92" t="s">
        <v>234</v>
      </c>
      <c r="D30" s="86">
        <f>SUM(D27:D29)</f>
        <v>4793000</v>
      </c>
      <c r="E30" s="85"/>
      <c r="F30" s="86">
        <f t="shared" si="0"/>
        <v>4793000</v>
      </c>
    </row>
    <row r="31" spans="2:6" x14ac:dyDescent="0.25">
      <c r="B31" s="90" t="s">
        <v>139</v>
      </c>
      <c r="C31" s="87" t="s">
        <v>235</v>
      </c>
      <c r="D31" s="84">
        <f>SUM('Kiadások ÖNK'!D31+'Kiadások KÖH'!D31)</f>
        <v>3071800</v>
      </c>
      <c r="E31" s="85"/>
      <c r="F31" s="86">
        <f t="shared" si="0"/>
        <v>3071800</v>
      </c>
    </row>
    <row r="32" spans="2:6" x14ac:dyDescent="0.25">
      <c r="B32" s="90" t="s">
        <v>236</v>
      </c>
      <c r="C32" s="87" t="s">
        <v>237</v>
      </c>
      <c r="D32" s="84">
        <f>SUM('Kiadások ÖNK'!D32+'Kiadások KÖH'!D32)</f>
        <v>775000</v>
      </c>
      <c r="E32" s="85"/>
      <c r="F32" s="86">
        <f t="shared" si="0"/>
        <v>775000</v>
      </c>
    </row>
    <row r="33" spans="2:6" ht="15" customHeight="1" x14ac:dyDescent="0.25">
      <c r="B33" s="94" t="s">
        <v>238</v>
      </c>
      <c r="C33" s="92" t="s">
        <v>239</v>
      </c>
      <c r="D33" s="86">
        <f>SUM(D31:D32)</f>
        <v>3846800</v>
      </c>
      <c r="E33" s="85"/>
      <c r="F33" s="86">
        <f t="shared" si="0"/>
        <v>3846800</v>
      </c>
    </row>
    <row r="34" spans="2:6" x14ac:dyDescent="0.25">
      <c r="B34" s="90" t="s">
        <v>158</v>
      </c>
      <c r="C34" s="87" t="s">
        <v>240</v>
      </c>
      <c r="D34" s="84">
        <f>SUM('Kiadások ÖNK'!D34+'Kiadások KÖH'!D34)</f>
        <v>8498600</v>
      </c>
      <c r="E34" s="85"/>
      <c r="F34" s="86">
        <f t="shared" si="0"/>
        <v>8498600</v>
      </c>
    </row>
    <row r="35" spans="2:6" x14ac:dyDescent="0.25">
      <c r="B35" s="90" t="s">
        <v>145</v>
      </c>
      <c r="C35" s="87" t="s">
        <v>241</v>
      </c>
      <c r="D35" s="84">
        <f>SUM('Kiadások ÖNK'!D35)</f>
        <v>1680000</v>
      </c>
      <c r="E35" s="85"/>
      <c r="F35" s="86">
        <f t="shared" si="0"/>
        <v>1680000</v>
      </c>
    </row>
    <row r="36" spans="2:6" x14ac:dyDescent="0.25">
      <c r="B36" s="90" t="s">
        <v>140</v>
      </c>
      <c r="C36" s="87" t="s">
        <v>242</v>
      </c>
      <c r="D36" s="84">
        <f>SUM('Kiadások ÖNK'!D36+'Kiadások KÖH'!D36)</f>
        <v>116000</v>
      </c>
      <c r="E36" s="85"/>
      <c r="F36" s="86">
        <f t="shared" si="0"/>
        <v>116000</v>
      </c>
    </row>
    <row r="37" spans="2:6" x14ac:dyDescent="0.25">
      <c r="B37" s="90" t="s">
        <v>141</v>
      </c>
      <c r="C37" s="87" t="s">
        <v>243</v>
      </c>
      <c r="D37" s="84">
        <f>SUM('Kiadások ÖNK'!D37+'Kiadások KÖH'!D37)</f>
        <v>1825500</v>
      </c>
      <c r="E37" s="85"/>
      <c r="F37" s="86">
        <f t="shared" si="0"/>
        <v>1825500</v>
      </c>
    </row>
    <row r="38" spans="2:6" x14ac:dyDescent="0.25">
      <c r="B38" s="98" t="s">
        <v>133</v>
      </c>
      <c r="C38" s="87" t="s">
        <v>244</v>
      </c>
      <c r="D38" s="84">
        <f>SUM('Kiadások ÖNK'!D38+'Kiadások KÖH'!D38)</f>
        <v>3060000</v>
      </c>
      <c r="E38" s="85"/>
      <c r="F38" s="86">
        <f t="shared" si="0"/>
        <v>3060000</v>
      </c>
    </row>
    <row r="39" spans="2:6" x14ac:dyDescent="0.25">
      <c r="B39" s="93" t="s">
        <v>245</v>
      </c>
      <c r="C39" s="87" t="s">
        <v>246</v>
      </c>
      <c r="D39" s="84">
        <f>SUM('Kiadások ÖNK'!D39+'Kiadások KÖH'!D39)</f>
        <v>6438000</v>
      </c>
      <c r="E39" s="85"/>
      <c r="F39" s="86">
        <f t="shared" ref="F39:F70" si="1">SUM(D39:E39)</f>
        <v>6438000</v>
      </c>
    </row>
    <row r="40" spans="2:6" x14ac:dyDescent="0.25">
      <c r="B40" s="90" t="s">
        <v>134</v>
      </c>
      <c r="C40" s="87" t="s">
        <v>247</v>
      </c>
      <c r="D40" s="84">
        <f>SUM('Kiadások ÖNK'!D40+'Kiadások KÖH'!D40)</f>
        <v>27674655</v>
      </c>
      <c r="E40" s="85"/>
      <c r="F40" s="86">
        <f t="shared" si="1"/>
        <v>27674655</v>
      </c>
    </row>
    <row r="41" spans="2:6" x14ac:dyDescent="0.25">
      <c r="B41" s="94" t="s">
        <v>248</v>
      </c>
      <c r="C41" s="92" t="s">
        <v>249</v>
      </c>
      <c r="D41" s="86">
        <f>SUM(D34:D40)</f>
        <v>49292755</v>
      </c>
      <c r="E41" s="85"/>
      <c r="F41" s="86">
        <f t="shared" si="1"/>
        <v>49292755</v>
      </c>
    </row>
    <row r="42" spans="2:6" x14ac:dyDescent="0.25">
      <c r="B42" s="90" t="s">
        <v>155</v>
      </c>
      <c r="C42" s="87" t="s">
        <v>250</v>
      </c>
      <c r="D42" s="84">
        <f>SUM('Kiadások ÖNK'!D42+'Kiadások KÖH'!D42)</f>
        <v>297000</v>
      </c>
      <c r="E42" s="85"/>
      <c r="F42" s="86">
        <f t="shared" si="1"/>
        <v>297000</v>
      </c>
    </row>
    <row r="43" spans="2:6" x14ac:dyDescent="0.25">
      <c r="B43" s="90" t="s">
        <v>251</v>
      </c>
      <c r="C43" s="87" t="s">
        <v>252</v>
      </c>
      <c r="D43" s="84">
        <f>SUM('Kiadások ÖNK'!D43+'Kiadások KÖH'!D43)</f>
        <v>15000</v>
      </c>
      <c r="E43" s="85"/>
      <c r="F43" s="86">
        <f t="shared" si="1"/>
        <v>15000</v>
      </c>
    </row>
    <row r="44" spans="2:6" x14ac:dyDescent="0.25">
      <c r="B44" s="94" t="s">
        <v>253</v>
      </c>
      <c r="C44" s="92" t="s">
        <v>254</v>
      </c>
      <c r="D44" s="86">
        <f>SUM(D42:D43)</f>
        <v>312000</v>
      </c>
      <c r="E44" s="85"/>
      <c r="F44" s="86">
        <f t="shared" si="1"/>
        <v>312000</v>
      </c>
    </row>
    <row r="45" spans="2:6" x14ac:dyDescent="0.25">
      <c r="B45" s="90" t="s">
        <v>142</v>
      </c>
      <c r="C45" s="87" t="s">
        <v>255</v>
      </c>
      <c r="D45" s="84">
        <f>SUM('Kiadások ÖNK'!D45+'Kiadások KÖH'!D45)</f>
        <v>7634515</v>
      </c>
      <c r="E45" s="85"/>
      <c r="F45" s="86">
        <f t="shared" si="1"/>
        <v>7634515</v>
      </c>
    </row>
    <row r="46" spans="2:6" x14ac:dyDescent="0.25">
      <c r="B46" s="90" t="s">
        <v>256</v>
      </c>
      <c r="C46" s="87" t="s">
        <v>257</v>
      </c>
      <c r="D46" s="360">
        <f>SUM('Kiadások ÖNK'!D46+'Kiadások KÖH'!D46)</f>
        <v>1212000</v>
      </c>
      <c r="E46" s="85"/>
      <c r="F46" s="86">
        <f t="shared" si="1"/>
        <v>1212000</v>
      </c>
    </row>
    <row r="47" spans="2:6" x14ac:dyDescent="0.25">
      <c r="B47" s="90" t="s">
        <v>258</v>
      </c>
      <c r="C47" s="87" t="s">
        <v>259</v>
      </c>
      <c r="D47" s="84">
        <f>SUM('Kiadások ÖNK'!D47+'Kiadások KÖH'!D47)</f>
        <v>100000</v>
      </c>
      <c r="E47" s="85"/>
      <c r="F47" s="86">
        <f t="shared" si="1"/>
        <v>100000</v>
      </c>
    </row>
    <row r="48" spans="2:6" x14ac:dyDescent="0.25">
      <c r="B48" s="90" t="s">
        <v>260</v>
      </c>
      <c r="C48" s="87" t="s">
        <v>261</v>
      </c>
      <c r="D48" s="84"/>
      <c r="E48" s="85"/>
      <c r="F48" s="86">
        <f t="shared" si="1"/>
        <v>0</v>
      </c>
    </row>
    <row r="49" spans="2:6" x14ac:dyDescent="0.25">
      <c r="B49" s="90" t="s">
        <v>175</v>
      </c>
      <c r="C49" s="87" t="s">
        <v>262</v>
      </c>
      <c r="D49" s="84">
        <f>SUM('Kiadások ÖNK'!D49+'Kiadások KÖH'!D49)</f>
        <v>65000</v>
      </c>
      <c r="E49" s="85"/>
      <c r="F49" s="86">
        <f t="shared" si="1"/>
        <v>65000</v>
      </c>
    </row>
    <row r="50" spans="2:6" x14ac:dyDescent="0.25">
      <c r="B50" s="94" t="s">
        <v>263</v>
      </c>
      <c r="C50" s="92" t="s">
        <v>264</v>
      </c>
      <c r="D50" s="86">
        <f>SUM(D45:D49)</f>
        <v>9011515</v>
      </c>
      <c r="E50" s="85"/>
      <c r="F50" s="86">
        <f t="shared" si="1"/>
        <v>9011515</v>
      </c>
    </row>
    <row r="51" spans="2:6" x14ac:dyDescent="0.25">
      <c r="B51" s="97" t="s">
        <v>135</v>
      </c>
      <c r="C51" s="96" t="s">
        <v>265</v>
      </c>
      <c r="D51" s="86">
        <f>SUM(D30+D33+D41+D44+D50)</f>
        <v>67256070</v>
      </c>
      <c r="E51" s="85"/>
      <c r="F51" s="86">
        <f t="shared" si="1"/>
        <v>67256070</v>
      </c>
    </row>
    <row r="52" spans="2:6" x14ac:dyDescent="0.25">
      <c r="B52" s="99" t="s">
        <v>266</v>
      </c>
      <c r="C52" s="87" t="s">
        <v>267</v>
      </c>
      <c r="D52" s="84">
        <f>'Kiadások ÖNK'!D52+'Kiadások KÖH'!D52</f>
        <v>0</v>
      </c>
      <c r="E52" s="85"/>
      <c r="F52" s="86">
        <f t="shared" si="1"/>
        <v>0</v>
      </c>
    </row>
    <row r="53" spans="2:6" x14ac:dyDescent="0.25">
      <c r="B53" s="99" t="s">
        <v>165</v>
      </c>
      <c r="C53" s="87" t="s">
        <v>268</v>
      </c>
      <c r="D53" s="84">
        <f>'Kiadások ÖNK'!D53+'Kiadások KÖH'!D53</f>
        <v>0</v>
      </c>
      <c r="E53" s="85"/>
      <c r="F53" s="86">
        <f t="shared" si="1"/>
        <v>0</v>
      </c>
    </row>
    <row r="54" spans="2:6" x14ac:dyDescent="0.25">
      <c r="B54" s="100" t="s">
        <v>269</v>
      </c>
      <c r="C54" s="87" t="s">
        <v>270</v>
      </c>
      <c r="D54" s="84">
        <f>'Kiadások ÖNK'!D54+'Kiadások KÖH'!D54</f>
        <v>0</v>
      </c>
      <c r="E54" s="85"/>
      <c r="F54" s="86">
        <f t="shared" si="1"/>
        <v>0</v>
      </c>
    </row>
    <row r="55" spans="2:6" x14ac:dyDescent="0.25">
      <c r="B55" s="100" t="s">
        <v>271</v>
      </c>
      <c r="C55" s="87" t="s">
        <v>272</v>
      </c>
      <c r="D55" s="84">
        <f>'Kiadások ÖNK'!D55+'Kiadások KÖH'!D55</f>
        <v>0</v>
      </c>
      <c r="E55" s="85"/>
      <c r="F55" s="86">
        <f t="shared" si="1"/>
        <v>0</v>
      </c>
    </row>
    <row r="56" spans="2:6" x14ac:dyDescent="0.25">
      <c r="B56" s="100" t="s">
        <v>273</v>
      </c>
      <c r="C56" s="87" t="s">
        <v>274</v>
      </c>
      <c r="D56" s="84">
        <f>'Kiadások ÖNK'!D56+'Kiadások KÖH'!D56</f>
        <v>0</v>
      </c>
      <c r="E56" s="85"/>
      <c r="F56" s="86">
        <f t="shared" si="1"/>
        <v>0</v>
      </c>
    </row>
    <row r="57" spans="2:6" x14ac:dyDescent="0.25">
      <c r="B57" s="99" t="s">
        <v>275</v>
      </c>
      <c r="C57" s="87" t="s">
        <v>276</v>
      </c>
      <c r="D57" s="84">
        <f>'Kiadások ÖNK'!D57+'Kiadások KÖH'!D57</f>
        <v>0</v>
      </c>
      <c r="E57" s="85"/>
      <c r="F57" s="86">
        <f t="shared" si="1"/>
        <v>0</v>
      </c>
    </row>
    <row r="58" spans="2:6" x14ac:dyDescent="0.25">
      <c r="B58" s="99" t="s">
        <v>277</v>
      </c>
      <c r="C58" s="87" t="s">
        <v>278</v>
      </c>
      <c r="D58" s="84">
        <f>'Kiadások ÖNK'!D58+'Kiadások KÖH'!D58</f>
        <v>0</v>
      </c>
      <c r="E58" s="85"/>
      <c r="F58" s="86">
        <f t="shared" si="1"/>
        <v>0</v>
      </c>
    </row>
    <row r="59" spans="2:6" x14ac:dyDescent="0.25">
      <c r="B59" s="99" t="s">
        <v>279</v>
      </c>
      <c r="C59" s="87" t="s">
        <v>280</v>
      </c>
      <c r="D59" s="84">
        <f>SUM('Kiadások ÖNK'!D59)</f>
        <v>2355000</v>
      </c>
      <c r="E59" s="85"/>
      <c r="F59" s="86">
        <f t="shared" si="1"/>
        <v>2355000</v>
      </c>
    </row>
    <row r="60" spans="2:6" x14ac:dyDescent="0.25">
      <c r="B60" s="101" t="s">
        <v>281</v>
      </c>
      <c r="C60" s="96" t="s">
        <v>282</v>
      </c>
      <c r="D60" s="86">
        <f>SUM(D52:D59)</f>
        <v>2355000</v>
      </c>
      <c r="E60" s="85"/>
      <c r="F60" s="86">
        <f t="shared" si="1"/>
        <v>2355000</v>
      </c>
    </row>
    <row r="61" spans="2:6" x14ac:dyDescent="0.25">
      <c r="B61" s="102" t="s">
        <v>283</v>
      </c>
      <c r="C61" s="87" t="s">
        <v>284</v>
      </c>
      <c r="D61" s="84"/>
      <c r="E61" s="85"/>
      <c r="F61" s="86">
        <f t="shared" si="1"/>
        <v>0</v>
      </c>
    </row>
    <row r="62" spans="2:6" x14ac:dyDescent="0.25">
      <c r="B62" s="102" t="s">
        <v>285</v>
      </c>
      <c r="C62" s="87" t="s">
        <v>286</v>
      </c>
      <c r="D62" s="84">
        <f>SUM('Kiadások ÖNK'!D62)</f>
        <v>6392468</v>
      </c>
      <c r="E62" s="85"/>
      <c r="F62" s="86">
        <f t="shared" si="1"/>
        <v>6392468</v>
      </c>
    </row>
    <row r="63" spans="2:6" ht="30" x14ac:dyDescent="0.25">
      <c r="B63" s="102" t="s">
        <v>287</v>
      </c>
      <c r="C63" s="87" t="s">
        <v>288</v>
      </c>
      <c r="D63" s="84"/>
      <c r="E63" s="85"/>
      <c r="F63" s="86">
        <f t="shared" si="1"/>
        <v>0</v>
      </c>
    </row>
    <row r="64" spans="2:6" ht="30" x14ac:dyDescent="0.25">
      <c r="B64" s="102" t="s">
        <v>289</v>
      </c>
      <c r="C64" s="87" t="s">
        <v>290</v>
      </c>
      <c r="D64" s="84"/>
      <c r="E64" s="85"/>
      <c r="F64" s="86">
        <f t="shared" si="1"/>
        <v>0</v>
      </c>
    </row>
    <row r="65" spans="2:6" ht="30" x14ac:dyDescent="0.25">
      <c r="B65" s="102" t="s">
        <v>291</v>
      </c>
      <c r="C65" s="87" t="s">
        <v>292</v>
      </c>
      <c r="D65" s="84"/>
      <c r="E65" s="85"/>
      <c r="F65" s="86">
        <f t="shared" si="1"/>
        <v>0</v>
      </c>
    </row>
    <row r="66" spans="2:6" ht="17.45" customHeight="1" x14ac:dyDescent="0.25">
      <c r="B66" s="102" t="s">
        <v>293</v>
      </c>
      <c r="C66" s="87" t="s">
        <v>294</v>
      </c>
      <c r="D66" s="84">
        <f>SUM('Kiadások ÖNK'!D66)</f>
        <v>3738000</v>
      </c>
      <c r="E66" s="85"/>
      <c r="F66" s="86">
        <f t="shared" si="1"/>
        <v>3738000</v>
      </c>
    </row>
    <row r="67" spans="2:6" ht="30" x14ac:dyDescent="0.25">
      <c r="B67" s="102" t="s">
        <v>295</v>
      </c>
      <c r="C67" s="87" t="s">
        <v>296</v>
      </c>
      <c r="D67" s="84"/>
      <c r="E67" s="85"/>
      <c r="F67" s="86">
        <f t="shared" si="1"/>
        <v>0</v>
      </c>
    </row>
    <row r="68" spans="2:6" x14ac:dyDescent="0.25">
      <c r="B68" s="102" t="s">
        <v>596</v>
      </c>
      <c r="C68" s="87" t="s">
        <v>298</v>
      </c>
      <c r="D68" s="84">
        <f>SUM('Kiadások ÖNK'!D68)</f>
        <v>0</v>
      </c>
      <c r="E68" s="85"/>
      <c r="F68" s="86">
        <f t="shared" si="1"/>
        <v>0</v>
      </c>
    </row>
    <row r="69" spans="2:6" x14ac:dyDescent="0.25">
      <c r="B69" s="102" t="s">
        <v>299</v>
      </c>
      <c r="C69" s="87" t="s">
        <v>300</v>
      </c>
      <c r="D69" s="84"/>
      <c r="E69" s="85"/>
      <c r="F69" s="86">
        <f t="shared" si="1"/>
        <v>0</v>
      </c>
    </row>
    <row r="70" spans="2:6" x14ac:dyDescent="0.25">
      <c r="B70" s="103" t="s">
        <v>301</v>
      </c>
      <c r="C70" s="87" t="s">
        <v>302</v>
      </c>
      <c r="D70" s="84"/>
      <c r="E70" s="85"/>
      <c r="F70" s="86">
        <f t="shared" si="1"/>
        <v>0</v>
      </c>
    </row>
    <row r="71" spans="2:6" ht="18" customHeight="1" x14ac:dyDescent="0.25">
      <c r="B71" s="102" t="s">
        <v>597</v>
      </c>
      <c r="C71" s="87" t="s">
        <v>306</v>
      </c>
      <c r="D71" s="84">
        <f>SUM('Kiadások ÖNK'!D71)</f>
        <v>11544000</v>
      </c>
      <c r="E71" s="85"/>
      <c r="F71" s="86">
        <f t="shared" ref="F71:F123" si="2">SUM(D71:E71)</f>
        <v>11544000</v>
      </c>
    </row>
    <row r="72" spans="2:6" x14ac:dyDescent="0.25">
      <c r="B72" s="103" t="s">
        <v>305</v>
      </c>
      <c r="C72" s="87" t="s">
        <v>598</v>
      </c>
      <c r="D72" s="84">
        <f>SUM('Kiadások ÖNK'!D72+'Kiadások KÖH'!D72)</f>
        <v>243223644</v>
      </c>
      <c r="E72" s="85"/>
      <c r="F72" s="86">
        <f t="shared" si="2"/>
        <v>243223644</v>
      </c>
    </row>
    <row r="73" spans="2:6" x14ac:dyDescent="0.25">
      <c r="B73" s="103" t="s">
        <v>307</v>
      </c>
      <c r="C73" s="87" t="s">
        <v>598</v>
      </c>
      <c r="D73" s="84"/>
      <c r="E73" s="85"/>
      <c r="F73" s="86">
        <f t="shared" si="2"/>
        <v>0</v>
      </c>
    </row>
    <row r="74" spans="2:6" x14ac:dyDescent="0.25">
      <c r="B74" s="101" t="s">
        <v>308</v>
      </c>
      <c r="C74" s="96" t="s">
        <v>309</v>
      </c>
      <c r="D74" s="86">
        <f>SUM(D61:D73)</f>
        <v>264898112</v>
      </c>
      <c r="E74" s="85"/>
      <c r="F74" s="86">
        <f t="shared" si="2"/>
        <v>264898112</v>
      </c>
    </row>
    <row r="75" spans="2:6" ht="15.75" x14ac:dyDescent="0.25">
      <c r="B75" s="104" t="s">
        <v>310</v>
      </c>
      <c r="C75" s="96"/>
      <c r="D75" s="86">
        <f>SUM(D25+D26+D51+D60+D74)</f>
        <v>484412567.75</v>
      </c>
      <c r="E75" s="85"/>
      <c r="F75" s="86">
        <f t="shared" si="2"/>
        <v>484412567.75</v>
      </c>
    </row>
    <row r="76" spans="2:6" x14ac:dyDescent="0.25">
      <c r="B76" s="105" t="s">
        <v>311</v>
      </c>
      <c r="C76" s="87" t="s">
        <v>312</v>
      </c>
      <c r="D76" s="84"/>
      <c r="E76" s="85"/>
      <c r="F76" s="86">
        <f t="shared" si="2"/>
        <v>0</v>
      </c>
    </row>
    <row r="77" spans="2:6" x14ac:dyDescent="0.25">
      <c r="B77" s="105" t="s">
        <v>313</v>
      </c>
      <c r="C77" s="87" t="s">
        <v>314</v>
      </c>
      <c r="D77" s="84"/>
      <c r="E77" s="85"/>
      <c r="F77" s="86">
        <f t="shared" si="2"/>
        <v>0</v>
      </c>
    </row>
    <row r="78" spans="2:6" x14ac:dyDescent="0.25">
      <c r="B78" s="105" t="s">
        <v>315</v>
      </c>
      <c r="C78" s="87" t="s">
        <v>316</v>
      </c>
      <c r="D78" s="84"/>
      <c r="E78" s="85"/>
      <c r="F78" s="86">
        <f t="shared" si="2"/>
        <v>0</v>
      </c>
    </row>
    <row r="79" spans="2:6" x14ac:dyDescent="0.25">
      <c r="B79" s="105" t="s">
        <v>143</v>
      </c>
      <c r="C79" s="87" t="s">
        <v>317</v>
      </c>
      <c r="D79" s="84">
        <f>SUM('ÖNK kiadás cofogra'!E791)</f>
        <v>40469</v>
      </c>
      <c r="E79" s="85"/>
      <c r="F79" s="86">
        <f t="shared" si="2"/>
        <v>40469</v>
      </c>
    </row>
    <row r="80" spans="2:6" x14ac:dyDescent="0.25">
      <c r="B80" s="93" t="s">
        <v>318</v>
      </c>
      <c r="C80" s="87" t="s">
        <v>319</v>
      </c>
      <c r="D80" s="84"/>
      <c r="E80" s="85"/>
      <c r="F80" s="86">
        <f t="shared" si="2"/>
        <v>0</v>
      </c>
    </row>
    <row r="81" spans="2:6" x14ac:dyDescent="0.25">
      <c r="B81" s="93" t="s">
        <v>320</v>
      </c>
      <c r="C81" s="87" t="s">
        <v>321</v>
      </c>
      <c r="D81" s="84"/>
      <c r="E81" s="85"/>
      <c r="F81" s="86">
        <f t="shared" si="2"/>
        <v>0</v>
      </c>
    </row>
    <row r="82" spans="2:6" x14ac:dyDescent="0.25">
      <c r="B82" s="93" t="s">
        <v>136</v>
      </c>
      <c r="C82" s="87" t="s">
        <v>322</v>
      </c>
      <c r="D82" s="84">
        <f>SUM('Kiadások ÖNK'!D82+'Kiadások KÖH'!D82)</f>
        <v>10927</v>
      </c>
      <c r="E82" s="85"/>
      <c r="F82" s="86">
        <f t="shared" si="2"/>
        <v>10927</v>
      </c>
    </row>
    <row r="83" spans="2:6" x14ac:dyDescent="0.25">
      <c r="B83" s="106" t="s">
        <v>323</v>
      </c>
      <c r="C83" s="96" t="s">
        <v>324</v>
      </c>
      <c r="D83" s="86">
        <f>SUM(D76:D82)</f>
        <v>51396</v>
      </c>
      <c r="E83" s="85"/>
      <c r="F83" s="86">
        <f t="shared" si="2"/>
        <v>51396</v>
      </c>
    </row>
    <row r="84" spans="2:6" x14ac:dyDescent="0.25">
      <c r="B84" s="99" t="s">
        <v>147</v>
      </c>
      <c r="C84" s="87" t="s">
        <v>325</v>
      </c>
      <c r="D84" s="84">
        <f>SUM('Kiadások ÖNK'!D84)</f>
        <v>40578203</v>
      </c>
      <c r="E84" s="85"/>
      <c r="F84" s="86">
        <f t="shared" si="2"/>
        <v>40578203</v>
      </c>
    </row>
    <row r="85" spans="2:6" x14ac:dyDescent="0.25">
      <c r="B85" s="99" t="s">
        <v>326</v>
      </c>
      <c r="C85" s="87" t="s">
        <v>327</v>
      </c>
      <c r="D85" s="84"/>
      <c r="E85" s="85"/>
      <c r="F85" s="86">
        <f t="shared" si="2"/>
        <v>0</v>
      </c>
    </row>
    <row r="86" spans="2:6" x14ac:dyDescent="0.25">
      <c r="B86" s="99" t="s">
        <v>328</v>
      </c>
      <c r="C86" s="87" t="s">
        <v>329</v>
      </c>
      <c r="D86" s="84">
        <f>SUM('Kiadások ÖNK'!D86+'Kiadások KÖH'!D86)</f>
        <v>1575000</v>
      </c>
      <c r="E86" s="85"/>
      <c r="F86" s="86">
        <f t="shared" si="2"/>
        <v>1575000</v>
      </c>
    </row>
    <row r="87" spans="2:6" x14ac:dyDescent="0.25">
      <c r="B87" s="99" t="s">
        <v>148</v>
      </c>
      <c r="C87" s="87" t="s">
        <v>330</v>
      </c>
      <c r="D87" s="84">
        <f>SUM('Kiadások ÖNK'!D87+'Kiadások KÖH'!D87)</f>
        <v>11381365</v>
      </c>
      <c r="E87" s="85"/>
      <c r="F87" s="86">
        <f t="shared" si="2"/>
        <v>11381365</v>
      </c>
    </row>
    <row r="88" spans="2:6" x14ac:dyDescent="0.25">
      <c r="B88" s="101" t="s">
        <v>331</v>
      </c>
      <c r="C88" s="96" t="s">
        <v>332</v>
      </c>
      <c r="D88" s="86">
        <f>SUM(D84:D87)</f>
        <v>53534568</v>
      </c>
      <c r="E88" s="85"/>
      <c r="F88" s="86">
        <f t="shared" si="2"/>
        <v>53534568</v>
      </c>
    </row>
    <row r="89" spans="2:6" ht="30" x14ac:dyDescent="0.25">
      <c r="B89" s="99" t="s">
        <v>333</v>
      </c>
      <c r="C89" s="87" t="s">
        <v>334</v>
      </c>
      <c r="D89" s="84">
        <f>'Kiadások ÖNK'!D89+'Kiadások KÖH'!D89</f>
        <v>0</v>
      </c>
      <c r="E89" s="85"/>
      <c r="F89" s="86">
        <f t="shared" si="2"/>
        <v>0</v>
      </c>
    </row>
    <row r="90" spans="2:6" ht="30" x14ac:dyDescent="0.25">
      <c r="B90" s="99" t="s">
        <v>335</v>
      </c>
      <c r="C90" s="87" t="s">
        <v>336</v>
      </c>
      <c r="D90" s="84">
        <f>'Kiadások ÖNK'!D90+'Kiadások KÖH'!D90</f>
        <v>0</v>
      </c>
      <c r="E90" s="85"/>
      <c r="F90" s="86">
        <f t="shared" si="2"/>
        <v>0</v>
      </c>
    </row>
    <row r="91" spans="2:6" ht="30" x14ac:dyDescent="0.25">
      <c r="B91" s="99" t="s">
        <v>337</v>
      </c>
      <c r="C91" s="87" t="s">
        <v>338</v>
      </c>
      <c r="D91" s="84">
        <f>'Kiadások ÖNK'!D91++'Kiadások KÖH'!D91</f>
        <v>0</v>
      </c>
      <c r="E91" s="85"/>
      <c r="F91" s="86">
        <f t="shared" si="2"/>
        <v>0</v>
      </c>
    </row>
    <row r="92" spans="2:6" x14ac:dyDescent="0.25">
      <c r="B92" s="99" t="s">
        <v>339</v>
      </c>
      <c r="C92" s="87" t="s">
        <v>340</v>
      </c>
      <c r="D92" s="84">
        <f>'Kiadások ÖNK'!D92+'Kiadások KÖH'!D92</f>
        <v>0</v>
      </c>
      <c r="E92" s="85"/>
      <c r="F92" s="86">
        <f t="shared" si="2"/>
        <v>0</v>
      </c>
    </row>
    <row r="93" spans="2:6" ht="30" x14ac:dyDescent="0.25">
      <c r="B93" s="99" t="s">
        <v>341</v>
      </c>
      <c r="C93" s="87" t="s">
        <v>342</v>
      </c>
      <c r="D93" s="84">
        <f>'Kiadások ÖNK'!D93+'Kiadások KÖH'!D93</f>
        <v>0</v>
      </c>
      <c r="E93" s="85"/>
      <c r="F93" s="86">
        <f t="shared" si="2"/>
        <v>0</v>
      </c>
    </row>
    <row r="94" spans="2:6" ht="30" x14ac:dyDescent="0.25">
      <c r="B94" s="99" t="s">
        <v>343</v>
      </c>
      <c r="C94" s="87" t="s">
        <v>344</v>
      </c>
      <c r="D94" s="84">
        <f>'Kiadások ÖNK'!D94+'Kiadások KÖH'!D94</f>
        <v>0</v>
      </c>
      <c r="E94" s="85"/>
      <c r="F94" s="86">
        <f t="shared" si="2"/>
        <v>0</v>
      </c>
    </row>
    <row r="95" spans="2:6" x14ac:dyDescent="0.25">
      <c r="B95" s="99" t="s">
        <v>345</v>
      </c>
      <c r="C95" s="87" t="s">
        <v>346</v>
      </c>
      <c r="D95" s="84">
        <f>'Kiadások ÖNK'!D95+'Kiadások KÖH'!D95</f>
        <v>0</v>
      </c>
      <c r="E95" s="85"/>
      <c r="F95" s="86">
        <f t="shared" si="2"/>
        <v>0</v>
      </c>
    </row>
    <row r="96" spans="2:6" x14ac:dyDescent="0.25">
      <c r="B96" s="99" t="s">
        <v>347</v>
      </c>
      <c r="C96" s="87" t="s">
        <v>348</v>
      </c>
      <c r="D96" s="84">
        <f>'Kiadások ÖNK'!D96+'Kiadások KÖH'!D96</f>
        <v>0</v>
      </c>
      <c r="E96" s="85"/>
      <c r="F96" s="86">
        <f t="shared" si="2"/>
        <v>0</v>
      </c>
    </row>
    <row r="97" spans="2:23" x14ac:dyDescent="0.25">
      <c r="B97" s="101" t="s">
        <v>349</v>
      </c>
      <c r="C97" s="96" t="s">
        <v>350</v>
      </c>
      <c r="D97" s="86">
        <f>SUM(D89:D96)</f>
        <v>0</v>
      </c>
      <c r="E97" s="85"/>
      <c r="F97" s="86">
        <f t="shared" si="2"/>
        <v>0</v>
      </c>
    </row>
    <row r="98" spans="2:23" ht="15.75" x14ac:dyDescent="0.25">
      <c r="B98" s="217" t="s">
        <v>351</v>
      </c>
      <c r="C98" s="96"/>
      <c r="D98" s="86">
        <f>SUM(D83+D88+D97)</f>
        <v>53585964</v>
      </c>
      <c r="E98" s="85"/>
      <c r="F98" s="86">
        <f t="shared" si="2"/>
        <v>53585964</v>
      </c>
    </row>
    <row r="99" spans="2:23" ht="15.75" x14ac:dyDescent="0.25">
      <c r="B99" s="107" t="s">
        <v>352</v>
      </c>
      <c r="C99" s="108" t="s">
        <v>353</v>
      </c>
      <c r="D99" s="86">
        <f>SUM(D75+D98)</f>
        <v>537998531.75</v>
      </c>
      <c r="E99" s="85"/>
      <c r="F99" s="86">
        <f t="shared" si="2"/>
        <v>537998531.75</v>
      </c>
    </row>
    <row r="100" spans="2:23" x14ac:dyDescent="0.25">
      <c r="B100" s="99" t="s">
        <v>354</v>
      </c>
      <c r="C100" s="90" t="s">
        <v>355</v>
      </c>
      <c r="D100" s="84">
        <f>'Kiadások ÖNK'!D100+'Kiadások KÖH'!D100</f>
        <v>0</v>
      </c>
      <c r="E100" s="99"/>
      <c r="F100" s="86">
        <f t="shared" si="2"/>
        <v>0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2:23" x14ac:dyDescent="0.25">
      <c r="B101" s="99" t="s">
        <v>356</v>
      </c>
      <c r="C101" s="90" t="s">
        <v>357</v>
      </c>
      <c r="D101" s="84">
        <f>'Kiadások ÖNK'!D101+'Kiadások KÖH'!D101</f>
        <v>0</v>
      </c>
      <c r="E101" s="99"/>
      <c r="F101" s="86">
        <f t="shared" si="2"/>
        <v>0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2:23" x14ac:dyDescent="0.25">
      <c r="B102" s="99" t="s">
        <v>358</v>
      </c>
      <c r="C102" s="90" t="s">
        <v>359</v>
      </c>
      <c r="D102" s="84">
        <f>'Kiadások ÖNK'!D102+'Kiadások KÖH'!D102</f>
        <v>0</v>
      </c>
      <c r="E102" s="99"/>
      <c r="F102" s="86">
        <f t="shared" si="2"/>
        <v>0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2:23" x14ac:dyDescent="0.25">
      <c r="B103" s="110" t="s">
        <v>360</v>
      </c>
      <c r="C103" s="94" t="s">
        <v>361</v>
      </c>
      <c r="D103" s="86"/>
      <c r="E103" s="110"/>
      <c r="F103" s="86">
        <f t="shared" si="2"/>
        <v>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2:23" x14ac:dyDescent="0.25">
      <c r="B104" s="112" t="s">
        <v>362</v>
      </c>
      <c r="C104" s="90" t="s">
        <v>363</v>
      </c>
      <c r="D104" s="84">
        <f>'Kiadások ÖNK'!D104+'Kiadások KÖH'!D104</f>
        <v>0</v>
      </c>
      <c r="E104" s="112"/>
      <c r="F104" s="86">
        <f t="shared" si="2"/>
        <v>0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2:23" x14ac:dyDescent="0.25">
      <c r="B105" s="112" t="s">
        <v>364</v>
      </c>
      <c r="C105" s="90" t="s">
        <v>365</v>
      </c>
      <c r="D105" s="84">
        <f>'Kiadások ÖNK'!D105+'Kiadások KÖH'!D105</f>
        <v>0</v>
      </c>
      <c r="E105" s="112"/>
      <c r="F105" s="86">
        <f t="shared" si="2"/>
        <v>0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2:23" x14ac:dyDescent="0.25">
      <c r="B106" s="99" t="s">
        <v>366</v>
      </c>
      <c r="C106" s="90" t="s">
        <v>367</v>
      </c>
      <c r="D106" s="84">
        <f>'Kiadások ÖNK'!D106+'Kiadások KÖH'!D106</f>
        <v>0</v>
      </c>
      <c r="E106" s="99"/>
      <c r="F106" s="86">
        <f t="shared" si="2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2:23" x14ac:dyDescent="0.25">
      <c r="B107" s="99" t="s">
        <v>368</v>
      </c>
      <c r="C107" s="90" t="s">
        <v>369</v>
      </c>
      <c r="D107" s="84">
        <f>'Kiadások ÖNK'!D107+'Kiadások KÖH'!D107</f>
        <v>0</v>
      </c>
      <c r="E107" s="99"/>
      <c r="F107" s="86">
        <f t="shared" si="2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2:23" x14ac:dyDescent="0.25">
      <c r="B108" s="114" t="s">
        <v>370</v>
      </c>
      <c r="C108" s="94" t="s">
        <v>371</v>
      </c>
      <c r="D108" s="86">
        <f>SUM(D104:D107)</f>
        <v>0</v>
      </c>
      <c r="E108" s="114"/>
      <c r="F108" s="86">
        <f t="shared" si="2"/>
        <v>0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2:23" x14ac:dyDescent="0.25">
      <c r="B109" s="112" t="s">
        <v>372</v>
      </c>
      <c r="C109" s="90" t="s">
        <v>373</v>
      </c>
      <c r="D109" s="84">
        <f>'Kiadások ÖNK'!D109+'Kiadások KÖH'!D109</f>
        <v>0</v>
      </c>
      <c r="E109" s="112"/>
      <c r="F109" s="86">
        <f t="shared" si="2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2:23" x14ac:dyDescent="0.25">
      <c r="B110" s="112" t="s">
        <v>374</v>
      </c>
      <c r="C110" s="90" t="s">
        <v>375</v>
      </c>
      <c r="D110" s="84">
        <f>'Kiadások ÖNK'!D110+'Kiadások KÖH'!D110</f>
        <v>3504664</v>
      </c>
      <c r="E110" s="112"/>
      <c r="F110" s="86">
        <f t="shared" si="2"/>
        <v>3504664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2:23" x14ac:dyDescent="0.25">
      <c r="B111" s="114" t="s">
        <v>376</v>
      </c>
      <c r="C111" s="94" t="s">
        <v>377</v>
      </c>
      <c r="D111" s="84">
        <f>SUM('Kiadások ÖNK'!D111+'Kiadások KÖH'!D111)</f>
        <v>79475225.599999994</v>
      </c>
      <c r="E111" s="112"/>
      <c r="F111" s="86">
        <f t="shared" si="2"/>
        <v>79475225.599999994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2:23" x14ac:dyDescent="0.25">
      <c r="B112" s="112" t="s">
        <v>378</v>
      </c>
      <c r="C112" s="90" t="s">
        <v>379</v>
      </c>
      <c r="D112" s="84">
        <f>'Kiadások ÖNK'!D112+'Kiadások KÖH'!D112</f>
        <v>0</v>
      </c>
      <c r="E112" s="112"/>
      <c r="F112" s="86">
        <f t="shared" si="2"/>
        <v>0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2:23" x14ac:dyDescent="0.25">
      <c r="B113" s="112" t="s">
        <v>380</v>
      </c>
      <c r="C113" s="90" t="s">
        <v>381</v>
      </c>
      <c r="D113" s="84">
        <f>'Kiadások ÖNK'!D113++'Kiadások KÖH'!D113</f>
        <v>0</v>
      </c>
      <c r="E113" s="112"/>
      <c r="F113" s="86">
        <f t="shared" si="2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2:23" x14ac:dyDescent="0.25">
      <c r="B114" s="112" t="s">
        <v>382</v>
      </c>
      <c r="C114" s="90" t="s">
        <v>383</v>
      </c>
      <c r="D114" s="84">
        <f>'Kiadások ÖNK'!D114+'Kiadások KÖH'!D114</f>
        <v>0</v>
      </c>
      <c r="E114" s="112"/>
      <c r="F114" s="86">
        <f t="shared" si="2"/>
        <v>0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2:23" x14ac:dyDescent="0.25">
      <c r="B115" s="116" t="s">
        <v>384</v>
      </c>
      <c r="C115" s="97" t="s">
        <v>385</v>
      </c>
      <c r="D115" s="86">
        <f>SUM(D103+D108+D109+D110+D111+D112+D113+D114)</f>
        <v>82979889.599999994</v>
      </c>
      <c r="E115" s="114"/>
      <c r="F115" s="86">
        <f t="shared" si="2"/>
        <v>82979889.599999994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</row>
    <row r="116" spans="2:23" x14ac:dyDescent="0.25">
      <c r="B116" s="112" t="s">
        <v>386</v>
      </c>
      <c r="C116" s="90" t="s">
        <v>387</v>
      </c>
      <c r="D116" s="84">
        <f>'Kiadások ÖNK'!D116+'Kiadások KÖH'!D116</f>
        <v>0</v>
      </c>
      <c r="E116" s="112"/>
      <c r="F116" s="86">
        <f t="shared" si="2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2:23" x14ac:dyDescent="0.25">
      <c r="B117" s="99" t="s">
        <v>388</v>
      </c>
      <c r="C117" s="90" t="s">
        <v>389</v>
      </c>
      <c r="D117" s="84">
        <f>'Kiadások ÖNK'!D117+'Kiadások KÖH'!D117</f>
        <v>0</v>
      </c>
      <c r="E117" s="99"/>
      <c r="F117" s="86">
        <f t="shared" si="2"/>
        <v>0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</row>
    <row r="118" spans="2:23" x14ac:dyDescent="0.25">
      <c r="B118" s="112" t="s">
        <v>390</v>
      </c>
      <c r="C118" s="90" t="s">
        <v>391</v>
      </c>
      <c r="D118" s="84">
        <f>'Kiadások ÖNK'!D118+'Kiadások KÖH'!D118</f>
        <v>0</v>
      </c>
      <c r="E118" s="112"/>
      <c r="F118" s="86">
        <f t="shared" si="2"/>
        <v>0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2:23" x14ac:dyDescent="0.25">
      <c r="B119" s="112" t="s">
        <v>392</v>
      </c>
      <c r="C119" s="90" t="s">
        <v>393</v>
      </c>
      <c r="D119" s="84">
        <f>'Kiadások ÖNK'!D119+'Kiadások KÖH'!D119</f>
        <v>0</v>
      </c>
      <c r="E119" s="112"/>
      <c r="F119" s="86">
        <f t="shared" si="2"/>
        <v>0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2:23" x14ac:dyDescent="0.25">
      <c r="B120" s="116" t="s">
        <v>394</v>
      </c>
      <c r="C120" s="97" t="s">
        <v>395</v>
      </c>
      <c r="D120" s="86">
        <f>SUM(D116:D119)</f>
        <v>0</v>
      </c>
      <c r="E120" s="114"/>
      <c r="F120" s="86">
        <f t="shared" si="2"/>
        <v>0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2:23" x14ac:dyDescent="0.25">
      <c r="B121" s="99" t="s">
        <v>396</v>
      </c>
      <c r="C121" s="90" t="s">
        <v>397</v>
      </c>
      <c r="D121" s="84"/>
      <c r="E121" s="99"/>
      <c r="F121" s="86">
        <f t="shared" si="2"/>
        <v>0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2:23" ht="15.75" x14ac:dyDescent="0.25">
      <c r="B122" s="117" t="s">
        <v>398</v>
      </c>
      <c r="C122" s="118" t="s">
        <v>399</v>
      </c>
      <c r="D122" s="86">
        <f>SUM(D115+D120+D121)</f>
        <v>82979889.599999994</v>
      </c>
      <c r="E122" s="114"/>
      <c r="F122" s="86">
        <f t="shared" si="2"/>
        <v>82979889.599999994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</row>
    <row r="123" spans="2:23" ht="15.75" x14ac:dyDescent="0.25">
      <c r="B123" s="119" t="s">
        <v>400</v>
      </c>
      <c r="C123" s="120"/>
      <c r="D123" s="86">
        <f>SUM(D99+D122)</f>
        <v>620978421.35000002</v>
      </c>
      <c r="E123" s="85"/>
      <c r="F123" s="86">
        <f t="shared" si="2"/>
        <v>620978421.35000002</v>
      </c>
    </row>
    <row r="125" spans="2:23" x14ac:dyDescent="0.25">
      <c r="D125" s="392"/>
    </row>
    <row r="126" spans="2:23" x14ac:dyDescent="0.25">
      <c r="D126" s="88"/>
    </row>
    <row r="127" spans="2:23" x14ac:dyDescent="0.25">
      <c r="D127" s="88"/>
    </row>
    <row r="128" spans="2:23" x14ac:dyDescent="0.25">
      <c r="D128" s="88"/>
    </row>
    <row r="129" spans="4:4" x14ac:dyDescent="0.25">
      <c r="D129" s="88"/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workbookViewId="0">
      <selection activeCell="B1" sqref="B1"/>
    </sheetView>
  </sheetViews>
  <sheetFormatPr defaultRowHeight="15" x14ac:dyDescent="0.25"/>
  <cols>
    <col min="1" max="1" width="3.28515625" style="77" customWidth="1"/>
    <col min="2" max="2" width="92.5703125" style="77" customWidth="1"/>
    <col min="3" max="3" width="10.85546875" style="77" customWidth="1"/>
    <col min="4" max="4" width="13" style="77" customWidth="1"/>
    <col min="5" max="5" width="9.7109375" style="77" customWidth="1"/>
    <col min="6" max="6" width="14" style="77" customWidth="1"/>
    <col min="7" max="7" width="8.7109375" style="77"/>
    <col min="8" max="8" width="9.7109375" style="77" bestFit="1" customWidth="1"/>
    <col min="9" max="256" width="8.7109375" style="77"/>
    <col min="257" max="257" width="92.5703125" style="77" customWidth="1"/>
    <col min="258" max="258" width="8.7109375" style="77"/>
    <col min="259" max="259" width="13" style="77" customWidth="1"/>
    <col min="260" max="260" width="14.140625" style="77" customWidth="1"/>
    <col min="261" max="261" width="15.85546875" style="77" customWidth="1"/>
    <col min="262" max="262" width="14" style="77" customWidth="1"/>
    <col min="263" max="512" width="8.7109375" style="77"/>
    <col min="513" max="513" width="92.5703125" style="77" customWidth="1"/>
    <col min="514" max="514" width="8.7109375" style="77"/>
    <col min="515" max="515" width="13" style="77" customWidth="1"/>
    <col min="516" max="516" width="14.140625" style="77" customWidth="1"/>
    <col min="517" max="517" width="15.85546875" style="77" customWidth="1"/>
    <col min="518" max="518" width="14" style="77" customWidth="1"/>
    <col min="519" max="768" width="8.7109375" style="77"/>
    <col min="769" max="769" width="92.5703125" style="77" customWidth="1"/>
    <col min="770" max="770" width="8.7109375" style="77"/>
    <col min="771" max="771" width="13" style="77" customWidth="1"/>
    <col min="772" max="772" width="14.140625" style="77" customWidth="1"/>
    <col min="773" max="773" width="15.85546875" style="77" customWidth="1"/>
    <col min="774" max="774" width="14" style="77" customWidth="1"/>
    <col min="775" max="1024" width="8.7109375" style="77"/>
    <col min="1025" max="1025" width="92.5703125" style="77" customWidth="1"/>
    <col min="1026" max="1026" width="8.7109375" style="77"/>
    <col min="1027" max="1027" width="13" style="77" customWidth="1"/>
    <col min="1028" max="1028" width="14.140625" style="77" customWidth="1"/>
    <col min="1029" max="1029" width="15.85546875" style="77" customWidth="1"/>
    <col min="1030" max="1030" width="14" style="77" customWidth="1"/>
    <col min="1031" max="1280" width="8.7109375" style="77"/>
    <col min="1281" max="1281" width="92.5703125" style="77" customWidth="1"/>
    <col min="1282" max="1282" width="8.7109375" style="77"/>
    <col min="1283" max="1283" width="13" style="77" customWidth="1"/>
    <col min="1284" max="1284" width="14.140625" style="77" customWidth="1"/>
    <col min="1285" max="1285" width="15.85546875" style="77" customWidth="1"/>
    <col min="1286" max="1286" width="14" style="77" customWidth="1"/>
    <col min="1287" max="1536" width="8.7109375" style="77"/>
    <col min="1537" max="1537" width="92.5703125" style="77" customWidth="1"/>
    <col min="1538" max="1538" width="8.7109375" style="77"/>
    <col min="1539" max="1539" width="13" style="77" customWidth="1"/>
    <col min="1540" max="1540" width="14.140625" style="77" customWidth="1"/>
    <col min="1541" max="1541" width="15.85546875" style="77" customWidth="1"/>
    <col min="1542" max="1542" width="14" style="77" customWidth="1"/>
    <col min="1543" max="1792" width="8.7109375" style="77"/>
    <col min="1793" max="1793" width="92.5703125" style="77" customWidth="1"/>
    <col min="1794" max="1794" width="8.7109375" style="77"/>
    <col min="1795" max="1795" width="13" style="77" customWidth="1"/>
    <col min="1796" max="1796" width="14.140625" style="77" customWidth="1"/>
    <col min="1797" max="1797" width="15.85546875" style="77" customWidth="1"/>
    <col min="1798" max="1798" width="14" style="77" customWidth="1"/>
    <col min="1799" max="2048" width="8.7109375" style="77"/>
    <col min="2049" max="2049" width="92.5703125" style="77" customWidth="1"/>
    <col min="2050" max="2050" width="8.7109375" style="77"/>
    <col min="2051" max="2051" width="13" style="77" customWidth="1"/>
    <col min="2052" max="2052" width="14.140625" style="77" customWidth="1"/>
    <col min="2053" max="2053" width="15.85546875" style="77" customWidth="1"/>
    <col min="2054" max="2054" width="14" style="77" customWidth="1"/>
    <col min="2055" max="2304" width="8.7109375" style="77"/>
    <col min="2305" max="2305" width="92.5703125" style="77" customWidth="1"/>
    <col min="2306" max="2306" width="8.7109375" style="77"/>
    <col min="2307" max="2307" width="13" style="77" customWidth="1"/>
    <col min="2308" max="2308" width="14.140625" style="77" customWidth="1"/>
    <col min="2309" max="2309" width="15.85546875" style="77" customWidth="1"/>
    <col min="2310" max="2310" width="14" style="77" customWidth="1"/>
    <col min="2311" max="2560" width="8.7109375" style="77"/>
    <col min="2561" max="2561" width="92.5703125" style="77" customWidth="1"/>
    <col min="2562" max="2562" width="8.7109375" style="77"/>
    <col min="2563" max="2563" width="13" style="77" customWidth="1"/>
    <col min="2564" max="2564" width="14.140625" style="77" customWidth="1"/>
    <col min="2565" max="2565" width="15.85546875" style="77" customWidth="1"/>
    <col min="2566" max="2566" width="14" style="77" customWidth="1"/>
    <col min="2567" max="2816" width="8.7109375" style="77"/>
    <col min="2817" max="2817" width="92.5703125" style="77" customWidth="1"/>
    <col min="2818" max="2818" width="8.7109375" style="77"/>
    <col min="2819" max="2819" width="13" style="77" customWidth="1"/>
    <col min="2820" max="2820" width="14.140625" style="77" customWidth="1"/>
    <col min="2821" max="2821" width="15.85546875" style="77" customWidth="1"/>
    <col min="2822" max="2822" width="14" style="77" customWidth="1"/>
    <col min="2823" max="3072" width="8.7109375" style="77"/>
    <col min="3073" max="3073" width="92.5703125" style="77" customWidth="1"/>
    <col min="3074" max="3074" width="8.7109375" style="77"/>
    <col min="3075" max="3075" width="13" style="77" customWidth="1"/>
    <col min="3076" max="3076" width="14.140625" style="77" customWidth="1"/>
    <col min="3077" max="3077" width="15.85546875" style="77" customWidth="1"/>
    <col min="3078" max="3078" width="14" style="77" customWidth="1"/>
    <col min="3079" max="3328" width="8.7109375" style="77"/>
    <col min="3329" max="3329" width="92.5703125" style="77" customWidth="1"/>
    <col min="3330" max="3330" width="8.7109375" style="77"/>
    <col min="3331" max="3331" width="13" style="77" customWidth="1"/>
    <col min="3332" max="3332" width="14.140625" style="77" customWidth="1"/>
    <col min="3333" max="3333" width="15.85546875" style="77" customWidth="1"/>
    <col min="3334" max="3334" width="14" style="77" customWidth="1"/>
    <col min="3335" max="3584" width="8.7109375" style="77"/>
    <col min="3585" max="3585" width="92.5703125" style="77" customWidth="1"/>
    <col min="3586" max="3586" width="8.7109375" style="77"/>
    <col min="3587" max="3587" width="13" style="77" customWidth="1"/>
    <col min="3588" max="3588" width="14.140625" style="77" customWidth="1"/>
    <col min="3589" max="3589" width="15.85546875" style="77" customWidth="1"/>
    <col min="3590" max="3590" width="14" style="77" customWidth="1"/>
    <col min="3591" max="3840" width="8.7109375" style="77"/>
    <col min="3841" max="3841" width="92.5703125" style="77" customWidth="1"/>
    <col min="3842" max="3842" width="8.7109375" style="77"/>
    <col min="3843" max="3843" width="13" style="77" customWidth="1"/>
    <col min="3844" max="3844" width="14.140625" style="77" customWidth="1"/>
    <col min="3845" max="3845" width="15.85546875" style="77" customWidth="1"/>
    <col min="3846" max="3846" width="14" style="77" customWidth="1"/>
    <col min="3847" max="4096" width="8.7109375" style="77"/>
    <col min="4097" max="4097" width="92.5703125" style="77" customWidth="1"/>
    <col min="4098" max="4098" width="8.7109375" style="77"/>
    <col min="4099" max="4099" width="13" style="77" customWidth="1"/>
    <col min="4100" max="4100" width="14.140625" style="77" customWidth="1"/>
    <col min="4101" max="4101" width="15.85546875" style="77" customWidth="1"/>
    <col min="4102" max="4102" width="14" style="77" customWidth="1"/>
    <col min="4103" max="4352" width="8.7109375" style="77"/>
    <col min="4353" max="4353" width="92.5703125" style="77" customWidth="1"/>
    <col min="4354" max="4354" width="8.7109375" style="77"/>
    <col min="4355" max="4355" width="13" style="77" customWidth="1"/>
    <col min="4356" max="4356" width="14.140625" style="77" customWidth="1"/>
    <col min="4357" max="4357" width="15.85546875" style="77" customWidth="1"/>
    <col min="4358" max="4358" width="14" style="77" customWidth="1"/>
    <col min="4359" max="4608" width="8.7109375" style="77"/>
    <col min="4609" max="4609" width="92.5703125" style="77" customWidth="1"/>
    <col min="4610" max="4610" width="8.7109375" style="77"/>
    <col min="4611" max="4611" width="13" style="77" customWidth="1"/>
    <col min="4612" max="4612" width="14.140625" style="77" customWidth="1"/>
    <col min="4613" max="4613" width="15.85546875" style="77" customWidth="1"/>
    <col min="4614" max="4614" width="14" style="77" customWidth="1"/>
    <col min="4615" max="4864" width="8.7109375" style="77"/>
    <col min="4865" max="4865" width="92.5703125" style="77" customWidth="1"/>
    <col min="4866" max="4866" width="8.7109375" style="77"/>
    <col min="4867" max="4867" width="13" style="77" customWidth="1"/>
    <col min="4868" max="4868" width="14.140625" style="77" customWidth="1"/>
    <col min="4869" max="4869" width="15.85546875" style="77" customWidth="1"/>
    <col min="4870" max="4870" width="14" style="77" customWidth="1"/>
    <col min="4871" max="5120" width="8.7109375" style="77"/>
    <col min="5121" max="5121" width="92.5703125" style="77" customWidth="1"/>
    <col min="5122" max="5122" width="8.7109375" style="77"/>
    <col min="5123" max="5123" width="13" style="77" customWidth="1"/>
    <col min="5124" max="5124" width="14.140625" style="77" customWidth="1"/>
    <col min="5125" max="5125" width="15.85546875" style="77" customWidth="1"/>
    <col min="5126" max="5126" width="14" style="77" customWidth="1"/>
    <col min="5127" max="5376" width="8.7109375" style="77"/>
    <col min="5377" max="5377" width="92.5703125" style="77" customWidth="1"/>
    <col min="5378" max="5378" width="8.7109375" style="77"/>
    <col min="5379" max="5379" width="13" style="77" customWidth="1"/>
    <col min="5380" max="5380" width="14.140625" style="77" customWidth="1"/>
    <col min="5381" max="5381" width="15.85546875" style="77" customWidth="1"/>
    <col min="5382" max="5382" width="14" style="77" customWidth="1"/>
    <col min="5383" max="5632" width="8.7109375" style="77"/>
    <col min="5633" max="5633" width="92.5703125" style="77" customWidth="1"/>
    <col min="5634" max="5634" width="8.7109375" style="77"/>
    <col min="5635" max="5635" width="13" style="77" customWidth="1"/>
    <col min="5636" max="5636" width="14.140625" style="77" customWidth="1"/>
    <col min="5637" max="5637" width="15.85546875" style="77" customWidth="1"/>
    <col min="5638" max="5638" width="14" style="77" customWidth="1"/>
    <col min="5639" max="5888" width="8.7109375" style="77"/>
    <col min="5889" max="5889" width="92.5703125" style="77" customWidth="1"/>
    <col min="5890" max="5890" width="8.7109375" style="77"/>
    <col min="5891" max="5891" width="13" style="77" customWidth="1"/>
    <col min="5892" max="5892" width="14.140625" style="77" customWidth="1"/>
    <col min="5893" max="5893" width="15.85546875" style="77" customWidth="1"/>
    <col min="5894" max="5894" width="14" style="77" customWidth="1"/>
    <col min="5895" max="6144" width="8.7109375" style="77"/>
    <col min="6145" max="6145" width="92.5703125" style="77" customWidth="1"/>
    <col min="6146" max="6146" width="8.7109375" style="77"/>
    <col min="6147" max="6147" width="13" style="77" customWidth="1"/>
    <col min="6148" max="6148" width="14.140625" style="77" customWidth="1"/>
    <col min="6149" max="6149" width="15.85546875" style="77" customWidth="1"/>
    <col min="6150" max="6150" width="14" style="77" customWidth="1"/>
    <col min="6151" max="6400" width="8.7109375" style="77"/>
    <col min="6401" max="6401" width="92.5703125" style="77" customWidth="1"/>
    <col min="6402" max="6402" width="8.7109375" style="77"/>
    <col min="6403" max="6403" width="13" style="77" customWidth="1"/>
    <col min="6404" max="6404" width="14.140625" style="77" customWidth="1"/>
    <col min="6405" max="6405" width="15.85546875" style="77" customWidth="1"/>
    <col min="6406" max="6406" width="14" style="77" customWidth="1"/>
    <col min="6407" max="6656" width="8.7109375" style="77"/>
    <col min="6657" max="6657" width="92.5703125" style="77" customWidth="1"/>
    <col min="6658" max="6658" width="8.7109375" style="77"/>
    <col min="6659" max="6659" width="13" style="77" customWidth="1"/>
    <col min="6660" max="6660" width="14.140625" style="77" customWidth="1"/>
    <col min="6661" max="6661" width="15.85546875" style="77" customWidth="1"/>
    <col min="6662" max="6662" width="14" style="77" customWidth="1"/>
    <col min="6663" max="6912" width="8.7109375" style="77"/>
    <col min="6913" max="6913" width="92.5703125" style="77" customWidth="1"/>
    <col min="6914" max="6914" width="8.7109375" style="77"/>
    <col min="6915" max="6915" width="13" style="77" customWidth="1"/>
    <col min="6916" max="6916" width="14.140625" style="77" customWidth="1"/>
    <col min="6917" max="6917" width="15.85546875" style="77" customWidth="1"/>
    <col min="6918" max="6918" width="14" style="77" customWidth="1"/>
    <col min="6919" max="7168" width="8.7109375" style="77"/>
    <col min="7169" max="7169" width="92.5703125" style="77" customWidth="1"/>
    <col min="7170" max="7170" width="8.7109375" style="77"/>
    <col min="7171" max="7171" width="13" style="77" customWidth="1"/>
    <col min="7172" max="7172" width="14.140625" style="77" customWidth="1"/>
    <col min="7173" max="7173" width="15.85546875" style="77" customWidth="1"/>
    <col min="7174" max="7174" width="14" style="77" customWidth="1"/>
    <col min="7175" max="7424" width="8.7109375" style="77"/>
    <col min="7425" max="7425" width="92.5703125" style="77" customWidth="1"/>
    <col min="7426" max="7426" width="8.7109375" style="77"/>
    <col min="7427" max="7427" width="13" style="77" customWidth="1"/>
    <col min="7428" max="7428" width="14.140625" style="77" customWidth="1"/>
    <col min="7429" max="7429" width="15.85546875" style="77" customWidth="1"/>
    <col min="7430" max="7430" width="14" style="77" customWidth="1"/>
    <col min="7431" max="7680" width="8.7109375" style="77"/>
    <col min="7681" max="7681" width="92.5703125" style="77" customWidth="1"/>
    <col min="7682" max="7682" width="8.7109375" style="77"/>
    <col min="7683" max="7683" width="13" style="77" customWidth="1"/>
    <col min="7684" max="7684" width="14.140625" style="77" customWidth="1"/>
    <col min="7685" max="7685" width="15.85546875" style="77" customWidth="1"/>
    <col min="7686" max="7686" width="14" style="77" customWidth="1"/>
    <col min="7687" max="7936" width="8.7109375" style="77"/>
    <col min="7937" max="7937" width="92.5703125" style="77" customWidth="1"/>
    <col min="7938" max="7938" width="8.7109375" style="77"/>
    <col min="7939" max="7939" width="13" style="77" customWidth="1"/>
    <col min="7940" max="7940" width="14.140625" style="77" customWidth="1"/>
    <col min="7941" max="7941" width="15.85546875" style="77" customWidth="1"/>
    <col min="7942" max="7942" width="14" style="77" customWidth="1"/>
    <col min="7943" max="8192" width="8.7109375" style="77"/>
    <col min="8193" max="8193" width="92.5703125" style="77" customWidth="1"/>
    <col min="8194" max="8194" width="8.7109375" style="77"/>
    <col min="8195" max="8195" width="13" style="77" customWidth="1"/>
    <col min="8196" max="8196" width="14.140625" style="77" customWidth="1"/>
    <col min="8197" max="8197" width="15.85546875" style="77" customWidth="1"/>
    <col min="8198" max="8198" width="14" style="77" customWidth="1"/>
    <col min="8199" max="8448" width="8.7109375" style="77"/>
    <col min="8449" max="8449" width="92.5703125" style="77" customWidth="1"/>
    <col min="8450" max="8450" width="8.7109375" style="77"/>
    <col min="8451" max="8451" width="13" style="77" customWidth="1"/>
    <col min="8452" max="8452" width="14.140625" style="77" customWidth="1"/>
    <col min="8453" max="8453" width="15.85546875" style="77" customWidth="1"/>
    <col min="8454" max="8454" width="14" style="77" customWidth="1"/>
    <col min="8455" max="8704" width="8.7109375" style="77"/>
    <col min="8705" max="8705" width="92.5703125" style="77" customWidth="1"/>
    <col min="8706" max="8706" width="8.7109375" style="77"/>
    <col min="8707" max="8707" width="13" style="77" customWidth="1"/>
    <col min="8708" max="8708" width="14.140625" style="77" customWidth="1"/>
    <col min="8709" max="8709" width="15.85546875" style="77" customWidth="1"/>
    <col min="8710" max="8710" width="14" style="77" customWidth="1"/>
    <col min="8711" max="8960" width="8.7109375" style="77"/>
    <col min="8961" max="8961" width="92.5703125" style="77" customWidth="1"/>
    <col min="8962" max="8962" width="8.7109375" style="77"/>
    <col min="8963" max="8963" width="13" style="77" customWidth="1"/>
    <col min="8964" max="8964" width="14.140625" style="77" customWidth="1"/>
    <col min="8965" max="8965" width="15.85546875" style="77" customWidth="1"/>
    <col min="8966" max="8966" width="14" style="77" customWidth="1"/>
    <col min="8967" max="9216" width="8.7109375" style="77"/>
    <col min="9217" max="9217" width="92.5703125" style="77" customWidth="1"/>
    <col min="9218" max="9218" width="8.7109375" style="77"/>
    <col min="9219" max="9219" width="13" style="77" customWidth="1"/>
    <col min="9220" max="9220" width="14.140625" style="77" customWidth="1"/>
    <col min="9221" max="9221" width="15.85546875" style="77" customWidth="1"/>
    <col min="9222" max="9222" width="14" style="77" customWidth="1"/>
    <col min="9223" max="9472" width="8.7109375" style="77"/>
    <col min="9473" max="9473" width="92.5703125" style="77" customWidth="1"/>
    <col min="9474" max="9474" width="8.7109375" style="77"/>
    <col min="9475" max="9475" width="13" style="77" customWidth="1"/>
    <col min="9476" max="9476" width="14.140625" style="77" customWidth="1"/>
    <col min="9477" max="9477" width="15.85546875" style="77" customWidth="1"/>
    <col min="9478" max="9478" width="14" style="77" customWidth="1"/>
    <col min="9479" max="9728" width="8.7109375" style="77"/>
    <col min="9729" max="9729" width="92.5703125" style="77" customWidth="1"/>
    <col min="9730" max="9730" width="8.7109375" style="77"/>
    <col min="9731" max="9731" width="13" style="77" customWidth="1"/>
    <col min="9732" max="9732" width="14.140625" style="77" customWidth="1"/>
    <col min="9733" max="9733" width="15.85546875" style="77" customWidth="1"/>
    <col min="9734" max="9734" width="14" style="77" customWidth="1"/>
    <col min="9735" max="9984" width="8.7109375" style="77"/>
    <col min="9985" max="9985" width="92.5703125" style="77" customWidth="1"/>
    <col min="9986" max="9986" width="8.7109375" style="77"/>
    <col min="9987" max="9987" width="13" style="77" customWidth="1"/>
    <col min="9988" max="9988" width="14.140625" style="77" customWidth="1"/>
    <col min="9989" max="9989" width="15.85546875" style="77" customWidth="1"/>
    <col min="9990" max="9990" width="14" style="77" customWidth="1"/>
    <col min="9991" max="10240" width="8.7109375" style="77"/>
    <col min="10241" max="10241" width="92.5703125" style="77" customWidth="1"/>
    <col min="10242" max="10242" width="8.7109375" style="77"/>
    <col min="10243" max="10243" width="13" style="77" customWidth="1"/>
    <col min="10244" max="10244" width="14.140625" style="77" customWidth="1"/>
    <col min="10245" max="10245" width="15.85546875" style="77" customWidth="1"/>
    <col min="10246" max="10246" width="14" style="77" customWidth="1"/>
    <col min="10247" max="10496" width="8.7109375" style="77"/>
    <col min="10497" max="10497" width="92.5703125" style="77" customWidth="1"/>
    <col min="10498" max="10498" width="8.7109375" style="77"/>
    <col min="10499" max="10499" width="13" style="77" customWidth="1"/>
    <col min="10500" max="10500" width="14.140625" style="77" customWidth="1"/>
    <col min="10501" max="10501" width="15.85546875" style="77" customWidth="1"/>
    <col min="10502" max="10502" width="14" style="77" customWidth="1"/>
    <col min="10503" max="10752" width="8.7109375" style="77"/>
    <col min="10753" max="10753" width="92.5703125" style="77" customWidth="1"/>
    <col min="10754" max="10754" width="8.7109375" style="77"/>
    <col min="10755" max="10755" width="13" style="77" customWidth="1"/>
    <col min="10756" max="10756" width="14.140625" style="77" customWidth="1"/>
    <col min="10757" max="10757" width="15.85546875" style="77" customWidth="1"/>
    <col min="10758" max="10758" width="14" style="77" customWidth="1"/>
    <col min="10759" max="11008" width="8.7109375" style="77"/>
    <col min="11009" max="11009" width="92.5703125" style="77" customWidth="1"/>
    <col min="11010" max="11010" width="8.7109375" style="77"/>
    <col min="11011" max="11011" width="13" style="77" customWidth="1"/>
    <col min="11012" max="11012" width="14.140625" style="77" customWidth="1"/>
    <col min="11013" max="11013" width="15.85546875" style="77" customWidth="1"/>
    <col min="11014" max="11014" width="14" style="77" customWidth="1"/>
    <col min="11015" max="11264" width="8.7109375" style="77"/>
    <col min="11265" max="11265" width="92.5703125" style="77" customWidth="1"/>
    <col min="11266" max="11266" width="8.7109375" style="77"/>
    <col min="11267" max="11267" width="13" style="77" customWidth="1"/>
    <col min="11268" max="11268" width="14.140625" style="77" customWidth="1"/>
    <col min="11269" max="11269" width="15.85546875" style="77" customWidth="1"/>
    <col min="11270" max="11270" width="14" style="77" customWidth="1"/>
    <col min="11271" max="11520" width="8.7109375" style="77"/>
    <col min="11521" max="11521" width="92.5703125" style="77" customWidth="1"/>
    <col min="11522" max="11522" width="8.7109375" style="77"/>
    <col min="11523" max="11523" width="13" style="77" customWidth="1"/>
    <col min="11524" max="11524" width="14.140625" style="77" customWidth="1"/>
    <col min="11525" max="11525" width="15.85546875" style="77" customWidth="1"/>
    <col min="11526" max="11526" width="14" style="77" customWidth="1"/>
    <col min="11527" max="11776" width="8.7109375" style="77"/>
    <col min="11777" max="11777" width="92.5703125" style="77" customWidth="1"/>
    <col min="11778" max="11778" width="8.7109375" style="77"/>
    <col min="11779" max="11779" width="13" style="77" customWidth="1"/>
    <col min="11780" max="11780" width="14.140625" style="77" customWidth="1"/>
    <col min="11781" max="11781" width="15.85546875" style="77" customWidth="1"/>
    <col min="11782" max="11782" width="14" style="77" customWidth="1"/>
    <col min="11783" max="12032" width="8.7109375" style="77"/>
    <col min="12033" max="12033" width="92.5703125" style="77" customWidth="1"/>
    <col min="12034" max="12034" width="8.7109375" style="77"/>
    <col min="12035" max="12035" width="13" style="77" customWidth="1"/>
    <col min="12036" max="12036" width="14.140625" style="77" customWidth="1"/>
    <col min="12037" max="12037" width="15.85546875" style="77" customWidth="1"/>
    <col min="12038" max="12038" width="14" style="77" customWidth="1"/>
    <col min="12039" max="12288" width="8.7109375" style="77"/>
    <col min="12289" max="12289" width="92.5703125" style="77" customWidth="1"/>
    <col min="12290" max="12290" width="8.7109375" style="77"/>
    <col min="12291" max="12291" width="13" style="77" customWidth="1"/>
    <col min="12292" max="12292" width="14.140625" style="77" customWidth="1"/>
    <col min="12293" max="12293" width="15.85546875" style="77" customWidth="1"/>
    <col min="12294" max="12294" width="14" style="77" customWidth="1"/>
    <col min="12295" max="12544" width="8.7109375" style="77"/>
    <col min="12545" max="12545" width="92.5703125" style="77" customWidth="1"/>
    <col min="12546" max="12546" width="8.7109375" style="77"/>
    <col min="12547" max="12547" width="13" style="77" customWidth="1"/>
    <col min="12548" max="12548" width="14.140625" style="77" customWidth="1"/>
    <col min="12549" max="12549" width="15.85546875" style="77" customWidth="1"/>
    <col min="12550" max="12550" width="14" style="77" customWidth="1"/>
    <col min="12551" max="12800" width="8.7109375" style="77"/>
    <col min="12801" max="12801" width="92.5703125" style="77" customWidth="1"/>
    <col min="12802" max="12802" width="8.7109375" style="77"/>
    <col min="12803" max="12803" width="13" style="77" customWidth="1"/>
    <col min="12804" max="12804" width="14.140625" style="77" customWidth="1"/>
    <col min="12805" max="12805" width="15.85546875" style="77" customWidth="1"/>
    <col min="12806" max="12806" width="14" style="77" customWidth="1"/>
    <col min="12807" max="13056" width="8.7109375" style="77"/>
    <col min="13057" max="13057" width="92.5703125" style="77" customWidth="1"/>
    <col min="13058" max="13058" width="8.7109375" style="77"/>
    <col min="13059" max="13059" width="13" style="77" customWidth="1"/>
    <col min="13060" max="13060" width="14.140625" style="77" customWidth="1"/>
    <col min="13061" max="13061" width="15.85546875" style="77" customWidth="1"/>
    <col min="13062" max="13062" width="14" style="77" customWidth="1"/>
    <col min="13063" max="13312" width="8.7109375" style="77"/>
    <col min="13313" max="13313" width="92.5703125" style="77" customWidth="1"/>
    <col min="13314" max="13314" width="8.7109375" style="77"/>
    <col min="13315" max="13315" width="13" style="77" customWidth="1"/>
    <col min="13316" max="13316" width="14.140625" style="77" customWidth="1"/>
    <col min="13317" max="13317" width="15.85546875" style="77" customWidth="1"/>
    <col min="13318" max="13318" width="14" style="77" customWidth="1"/>
    <col min="13319" max="13568" width="8.7109375" style="77"/>
    <col min="13569" max="13569" width="92.5703125" style="77" customWidth="1"/>
    <col min="13570" max="13570" width="8.7109375" style="77"/>
    <col min="13571" max="13571" width="13" style="77" customWidth="1"/>
    <col min="13572" max="13572" width="14.140625" style="77" customWidth="1"/>
    <col min="13573" max="13573" width="15.85546875" style="77" customWidth="1"/>
    <col min="13574" max="13574" width="14" style="77" customWidth="1"/>
    <col min="13575" max="13824" width="8.7109375" style="77"/>
    <col min="13825" max="13825" width="92.5703125" style="77" customWidth="1"/>
    <col min="13826" max="13826" width="8.7109375" style="77"/>
    <col min="13827" max="13827" width="13" style="77" customWidth="1"/>
    <col min="13828" max="13828" width="14.140625" style="77" customWidth="1"/>
    <col min="13829" max="13829" width="15.85546875" style="77" customWidth="1"/>
    <col min="13830" max="13830" width="14" style="77" customWidth="1"/>
    <col min="13831" max="14080" width="8.7109375" style="77"/>
    <col min="14081" max="14081" width="92.5703125" style="77" customWidth="1"/>
    <col min="14082" max="14082" width="8.7109375" style="77"/>
    <col min="14083" max="14083" width="13" style="77" customWidth="1"/>
    <col min="14084" max="14084" width="14.140625" style="77" customWidth="1"/>
    <col min="14085" max="14085" width="15.85546875" style="77" customWidth="1"/>
    <col min="14086" max="14086" width="14" style="77" customWidth="1"/>
    <col min="14087" max="14336" width="8.7109375" style="77"/>
    <col min="14337" max="14337" width="92.5703125" style="77" customWidth="1"/>
    <col min="14338" max="14338" width="8.7109375" style="77"/>
    <col min="14339" max="14339" width="13" style="77" customWidth="1"/>
    <col min="14340" max="14340" width="14.140625" style="77" customWidth="1"/>
    <col min="14341" max="14341" width="15.85546875" style="77" customWidth="1"/>
    <col min="14342" max="14342" width="14" style="77" customWidth="1"/>
    <col min="14343" max="14592" width="8.7109375" style="77"/>
    <col min="14593" max="14593" width="92.5703125" style="77" customWidth="1"/>
    <col min="14594" max="14594" width="8.7109375" style="77"/>
    <col min="14595" max="14595" width="13" style="77" customWidth="1"/>
    <col min="14596" max="14596" width="14.140625" style="77" customWidth="1"/>
    <col min="14597" max="14597" width="15.85546875" style="77" customWidth="1"/>
    <col min="14598" max="14598" width="14" style="77" customWidth="1"/>
    <col min="14599" max="14848" width="8.7109375" style="77"/>
    <col min="14849" max="14849" width="92.5703125" style="77" customWidth="1"/>
    <col min="14850" max="14850" width="8.7109375" style="77"/>
    <col min="14851" max="14851" width="13" style="77" customWidth="1"/>
    <col min="14852" max="14852" width="14.140625" style="77" customWidth="1"/>
    <col min="14853" max="14853" width="15.85546875" style="77" customWidth="1"/>
    <col min="14854" max="14854" width="14" style="77" customWidth="1"/>
    <col min="14855" max="15104" width="8.7109375" style="77"/>
    <col min="15105" max="15105" width="92.5703125" style="77" customWidth="1"/>
    <col min="15106" max="15106" width="8.7109375" style="77"/>
    <col min="15107" max="15107" width="13" style="77" customWidth="1"/>
    <col min="15108" max="15108" width="14.140625" style="77" customWidth="1"/>
    <col min="15109" max="15109" width="15.85546875" style="77" customWidth="1"/>
    <col min="15110" max="15110" width="14" style="77" customWidth="1"/>
    <col min="15111" max="15360" width="8.7109375" style="77"/>
    <col min="15361" max="15361" width="92.5703125" style="77" customWidth="1"/>
    <col min="15362" max="15362" width="8.7109375" style="77"/>
    <col min="15363" max="15363" width="13" style="77" customWidth="1"/>
    <col min="15364" max="15364" width="14.140625" style="77" customWidth="1"/>
    <col min="15365" max="15365" width="15.85546875" style="77" customWidth="1"/>
    <col min="15366" max="15366" width="14" style="77" customWidth="1"/>
    <col min="15367" max="15616" width="8.7109375" style="77"/>
    <col min="15617" max="15617" width="92.5703125" style="77" customWidth="1"/>
    <col min="15618" max="15618" width="8.7109375" style="77"/>
    <col min="15619" max="15619" width="13" style="77" customWidth="1"/>
    <col min="15620" max="15620" width="14.140625" style="77" customWidth="1"/>
    <col min="15621" max="15621" width="15.85546875" style="77" customWidth="1"/>
    <col min="15622" max="15622" width="14" style="77" customWidth="1"/>
    <col min="15623" max="15872" width="8.7109375" style="77"/>
    <col min="15873" max="15873" width="92.5703125" style="77" customWidth="1"/>
    <col min="15874" max="15874" width="8.7109375" style="77"/>
    <col min="15875" max="15875" width="13" style="77" customWidth="1"/>
    <col min="15876" max="15876" width="14.140625" style="77" customWidth="1"/>
    <col min="15877" max="15877" width="15.85546875" style="77" customWidth="1"/>
    <col min="15878" max="15878" width="14" style="77" customWidth="1"/>
    <col min="15879" max="16128" width="8.7109375" style="77"/>
    <col min="16129" max="16129" width="92.5703125" style="77" customWidth="1"/>
    <col min="16130" max="16130" width="8.7109375" style="77"/>
    <col min="16131" max="16131" width="13" style="77" customWidth="1"/>
    <col min="16132" max="16132" width="14.140625" style="77" customWidth="1"/>
    <col min="16133" max="16133" width="15.85546875" style="77" customWidth="1"/>
    <col min="16134" max="16134" width="14" style="77" customWidth="1"/>
    <col min="16135" max="16384" width="8.7109375" style="77"/>
  </cols>
  <sheetData>
    <row r="1" spans="1:8" x14ac:dyDescent="0.25">
      <c r="A1" s="76" t="s">
        <v>401</v>
      </c>
      <c r="B1" s="679" t="str">
        <f>'Kiadások ÖNK'!B1</f>
        <v>melléklet a 4/2021.(III.08.) önkormányzati rendelethez</v>
      </c>
    </row>
    <row r="2" spans="1:8" ht="24" customHeight="1" x14ac:dyDescent="0.25">
      <c r="B2" s="786" t="str">
        <f>'Kiemelt EI.'!B2:C2</f>
        <v>Az önkormányzat 2022.évi költségvetése</v>
      </c>
      <c r="C2" s="787"/>
      <c r="D2" s="787"/>
      <c r="E2" s="787"/>
      <c r="F2" s="788"/>
    </row>
    <row r="3" spans="1:8" ht="24" customHeight="1" x14ac:dyDescent="0.25">
      <c r="B3" s="789" t="s">
        <v>402</v>
      </c>
      <c r="C3" s="787"/>
      <c r="D3" s="787"/>
      <c r="E3" s="787"/>
      <c r="F3" s="788"/>
      <c r="H3" s="121"/>
    </row>
    <row r="4" spans="1:8" ht="18" x14ac:dyDescent="0.25">
      <c r="B4" s="78"/>
    </row>
    <row r="5" spans="1:8" x14ac:dyDescent="0.25">
      <c r="B5" s="79" t="s">
        <v>595</v>
      </c>
    </row>
    <row r="6" spans="1:8" ht="45" x14ac:dyDescent="0.3">
      <c r="B6" s="80" t="s">
        <v>189</v>
      </c>
      <c r="C6" s="81" t="s">
        <v>403</v>
      </c>
      <c r="D6" s="82" t="s">
        <v>191</v>
      </c>
      <c r="E6" s="82" t="s">
        <v>192</v>
      </c>
      <c r="F6" s="82" t="s">
        <v>193</v>
      </c>
    </row>
    <row r="7" spans="1:8" ht="15" customHeight="1" x14ac:dyDescent="0.25">
      <c r="B7" s="89" t="s">
        <v>404</v>
      </c>
      <c r="C7" s="93" t="s">
        <v>405</v>
      </c>
      <c r="D7" s="84">
        <f>SUM('ÖNK bevétel cofogra'!E180)</f>
        <v>85199700</v>
      </c>
      <c r="E7" s="122"/>
      <c r="F7" s="86">
        <f t="shared" ref="F7:F38" si="0">SUM(D7:E7)</f>
        <v>85199700</v>
      </c>
    </row>
    <row r="8" spans="1:8" ht="15" customHeight="1" x14ac:dyDescent="0.25">
      <c r="B8" s="90" t="s">
        <v>406</v>
      </c>
      <c r="C8" s="93" t="s">
        <v>407</v>
      </c>
      <c r="D8" s="84">
        <f>SUM('ÖNK bevétel cofogra'!E189)</f>
        <v>0</v>
      </c>
      <c r="E8" s="122"/>
      <c r="F8" s="86">
        <f t="shared" si="0"/>
        <v>0</v>
      </c>
    </row>
    <row r="9" spans="1:8" ht="15" customHeight="1" x14ac:dyDescent="0.25">
      <c r="B9" s="90" t="s">
        <v>408</v>
      </c>
      <c r="C9" s="93" t="s">
        <v>409</v>
      </c>
      <c r="D9" s="84">
        <f>SUM('ÖNK bevétel cofogra'!E192)</f>
        <v>885720</v>
      </c>
      <c r="E9" s="122"/>
      <c r="F9" s="86">
        <f t="shared" si="0"/>
        <v>885720</v>
      </c>
    </row>
    <row r="10" spans="1:8" ht="15" customHeight="1" x14ac:dyDescent="0.25">
      <c r="B10" s="90" t="s">
        <v>410</v>
      </c>
      <c r="C10" s="93" t="s">
        <v>411</v>
      </c>
      <c r="D10" s="84">
        <f>SUM('ÖNK bevétel cofogra'!E196)</f>
        <v>3049514</v>
      </c>
      <c r="E10" s="122"/>
      <c r="F10" s="86">
        <f t="shared" si="0"/>
        <v>3049514</v>
      </c>
    </row>
    <row r="11" spans="1:8" ht="15" customHeight="1" x14ac:dyDescent="0.25">
      <c r="B11" s="90" t="s">
        <v>601</v>
      </c>
      <c r="C11" s="93" t="s">
        <v>413</v>
      </c>
      <c r="D11" s="84">
        <f>SUM('ÖNK bevétel cofogra'!E197)</f>
        <v>3915653</v>
      </c>
      <c r="E11" s="122"/>
      <c r="F11" s="86">
        <f t="shared" si="0"/>
        <v>3915653</v>
      </c>
    </row>
    <row r="12" spans="1:8" ht="15" customHeight="1" x14ac:dyDescent="0.25">
      <c r="B12" s="90" t="s">
        <v>414</v>
      </c>
      <c r="C12" s="93" t="s">
        <v>415</v>
      </c>
      <c r="D12" s="122"/>
      <c r="E12" s="122"/>
      <c r="F12" s="86">
        <f t="shared" si="0"/>
        <v>0</v>
      </c>
    </row>
    <row r="13" spans="1:8" ht="15" customHeight="1" x14ac:dyDescent="0.25">
      <c r="B13" s="94" t="s">
        <v>416</v>
      </c>
      <c r="C13" s="123" t="s">
        <v>417</v>
      </c>
      <c r="D13" s="86">
        <f>SUM(D7:D12)</f>
        <v>93050587</v>
      </c>
      <c r="E13" s="122"/>
      <c r="F13" s="86">
        <f t="shared" si="0"/>
        <v>93050587</v>
      </c>
    </row>
    <row r="14" spans="1:8" ht="15" customHeight="1" x14ac:dyDescent="0.25">
      <c r="B14" s="90" t="s">
        <v>418</v>
      </c>
      <c r="C14" s="93" t="s">
        <v>419</v>
      </c>
      <c r="D14" s="122"/>
      <c r="E14" s="122"/>
      <c r="F14" s="86">
        <f t="shared" si="0"/>
        <v>0</v>
      </c>
    </row>
    <row r="15" spans="1:8" ht="15" customHeight="1" x14ac:dyDescent="0.25">
      <c r="B15" s="90" t="s">
        <v>420</v>
      </c>
      <c r="C15" s="93" t="s">
        <v>421</v>
      </c>
      <c r="D15" s="122"/>
      <c r="E15" s="122"/>
      <c r="F15" s="86">
        <f t="shared" si="0"/>
        <v>0</v>
      </c>
    </row>
    <row r="16" spans="1:8" ht="15" customHeight="1" x14ac:dyDescent="0.25">
      <c r="B16" s="90" t="s">
        <v>422</v>
      </c>
      <c r="C16" s="93" t="s">
        <v>423</v>
      </c>
      <c r="D16" s="84">
        <f>SUM('ÖNK bevétel cofogra'!E74)</f>
        <v>0</v>
      </c>
      <c r="E16" s="122"/>
      <c r="F16" s="86">
        <f t="shared" si="0"/>
        <v>0</v>
      </c>
    </row>
    <row r="17" spans="2:6" ht="15" customHeight="1" x14ac:dyDescent="0.25">
      <c r="B17" s="90" t="s">
        <v>424</v>
      </c>
      <c r="C17" s="93" t="s">
        <v>425</v>
      </c>
      <c r="D17" s="122"/>
      <c r="E17" s="122"/>
      <c r="F17" s="86">
        <f t="shared" si="0"/>
        <v>0</v>
      </c>
    </row>
    <row r="18" spans="2:6" ht="15" customHeight="1" x14ac:dyDescent="0.25">
      <c r="B18" s="90" t="s">
        <v>426</v>
      </c>
      <c r="C18" s="93" t="s">
        <v>427</v>
      </c>
      <c r="D18" s="84">
        <f>SUM('ÖNK bevétel cofogra'!E199)</f>
        <v>66318278.155579343</v>
      </c>
      <c r="E18" s="122"/>
      <c r="F18" s="86">
        <f t="shared" si="0"/>
        <v>66318278.155579343</v>
      </c>
    </row>
    <row r="19" spans="2:6" ht="15" customHeight="1" x14ac:dyDescent="0.25">
      <c r="B19" s="97" t="s">
        <v>428</v>
      </c>
      <c r="C19" s="106" t="s">
        <v>429</v>
      </c>
      <c r="D19" s="86">
        <f>D13+D14+D15+D16+D17+D18</f>
        <v>159368865.15557933</v>
      </c>
      <c r="E19" s="122"/>
      <c r="F19" s="86">
        <f t="shared" si="0"/>
        <v>159368865.15557933</v>
      </c>
    </row>
    <row r="20" spans="2:6" ht="15" customHeight="1" x14ac:dyDescent="0.25">
      <c r="B20" s="90" t="s">
        <v>430</v>
      </c>
      <c r="C20" s="93" t="s">
        <v>431</v>
      </c>
      <c r="D20" s="122"/>
      <c r="E20" s="122"/>
      <c r="F20" s="86">
        <f t="shared" si="0"/>
        <v>0</v>
      </c>
    </row>
    <row r="21" spans="2:6" ht="15" customHeight="1" x14ac:dyDescent="0.25">
      <c r="B21" s="90" t="s">
        <v>432</v>
      </c>
      <c r="C21" s="93" t="s">
        <v>433</v>
      </c>
      <c r="D21" s="122"/>
      <c r="E21" s="122"/>
      <c r="F21" s="86">
        <f t="shared" si="0"/>
        <v>0</v>
      </c>
    </row>
    <row r="22" spans="2:6" ht="15" customHeight="1" x14ac:dyDescent="0.25">
      <c r="B22" s="94" t="s">
        <v>434</v>
      </c>
      <c r="C22" s="123" t="s">
        <v>435</v>
      </c>
      <c r="D22" s="124">
        <f>SUM(D20:D21)</f>
        <v>0</v>
      </c>
      <c r="E22" s="122"/>
      <c r="F22" s="86">
        <f t="shared" si="0"/>
        <v>0</v>
      </c>
    </row>
    <row r="23" spans="2:6" ht="15" customHeight="1" x14ac:dyDescent="0.25">
      <c r="B23" s="90" t="s">
        <v>436</v>
      </c>
      <c r="C23" s="93" t="s">
        <v>437</v>
      </c>
      <c r="D23" s="122"/>
      <c r="E23" s="122"/>
      <c r="F23" s="86">
        <f t="shared" si="0"/>
        <v>0</v>
      </c>
    </row>
    <row r="24" spans="2:6" ht="15" customHeight="1" x14ac:dyDescent="0.25">
      <c r="B24" s="90" t="s">
        <v>438</v>
      </c>
      <c r="C24" s="93" t="s">
        <v>439</v>
      </c>
      <c r="D24" s="122"/>
      <c r="E24" s="122"/>
      <c r="F24" s="86">
        <f t="shared" si="0"/>
        <v>0</v>
      </c>
    </row>
    <row r="25" spans="2:6" ht="15" customHeight="1" x14ac:dyDescent="0.25">
      <c r="B25" s="94" t="s">
        <v>440</v>
      </c>
      <c r="C25" s="123" t="s">
        <v>441</v>
      </c>
      <c r="D25" s="86">
        <f>SUM('ÖNK bevétel cofogra'!E136)</f>
        <v>14400000</v>
      </c>
      <c r="E25" s="122"/>
      <c r="F25" s="86">
        <f t="shared" si="0"/>
        <v>14400000</v>
      </c>
    </row>
    <row r="26" spans="2:6" ht="15" customHeight="1" x14ac:dyDescent="0.25">
      <c r="B26" s="90" t="s">
        <v>442</v>
      </c>
      <c r="C26" s="93" t="s">
        <v>443</v>
      </c>
      <c r="D26" s="84">
        <f>SUM('ÖNK bevétel cofogra'!E140)</f>
        <v>80000000</v>
      </c>
      <c r="E26" s="122"/>
      <c r="F26" s="86">
        <f t="shared" si="0"/>
        <v>80000000</v>
      </c>
    </row>
    <row r="27" spans="2:6" ht="15" customHeight="1" x14ac:dyDescent="0.25">
      <c r="B27" s="90" t="s">
        <v>444</v>
      </c>
      <c r="C27" s="93" t="s">
        <v>445</v>
      </c>
      <c r="D27" s="122"/>
      <c r="E27" s="122"/>
      <c r="F27" s="86">
        <f t="shared" si="0"/>
        <v>0</v>
      </c>
    </row>
    <row r="28" spans="2:6" ht="15" customHeight="1" x14ac:dyDescent="0.25">
      <c r="B28" s="90" t="s">
        <v>446</v>
      </c>
      <c r="C28" s="93" t="s">
        <v>447</v>
      </c>
      <c r="D28" s="122"/>
      <c r="E28" s="122"/>
      <c r="F28" s="86">
        <f t="shared" si="0"/>
        <v>0</v>
      </c>
    </row>
    <row r="29" spans="2:6" ht="15" customHeight="1" x14ac:dyDescent="0.25">
      <c r="B29" s="90" t="s">
        <v>448</v>
      </c>
      <c r="C29" s="93" t="s">
        <v>449</v>
      </c>
      <c r="D29" s="84"/>
      <c r="E29" s="122"/>
      <c r="F29" s="86">
        <f t="shared" si="0"/>
        <v>0</v>
      </c>
    </row>
    <row r="30" spans="2:6" ht="15" customHeight="1" x14ac:dyDescent="0.25">
      <c r="B30" s="90" t="s">
        <v>450</v>
      </c>
      <c r="C30" s="93" t="s">
        <v>451</v>
      </c>
      <c r="D30" s="84">
        <f>SUM('ÖNK bevétel cofogra'!E142)</f>
        <v>500000</v>
      </c>
      <c r="E30" s="122"/>
      <c r="F30" s="86">
        <f t="shared" si="0"/>
        <v>500000</v>
      </c>
    </row>
    <row r="31" spans="2:6" ht="15" customHeight="1" x14ac:dyDescent="0.25">
      <c r="B31" s="94" t="s">
        <v>452</v>
      </c>
      <c r="C31" s="123" t="s">
        <v>453</v>
      </c>
      <c r="D31" s="86">
        <f>SUM(D26:D30)</f>
        <v>80500000</v>
      </c>
      <c r="E31" s="122"/>
      <c r="F31" s="86">
        <f t="shared" si="0"/>
        <v>80500000</v>
      </c>
    </row>
    <row r="32" spans="2:6" ht="15" customHeight="1" x14ac:dyDescent="0.25">
      <c r="B32" s="90" t="s">
        <v>184</v>
      </c>
      <c r="C32" s="93" t="s">
        <v>454</v>
      </c>
      <c r="D32" s="84">
        <f>SUM('ÖNK bevétel cofogra'!E145)</f>
        <v>1400000</v>
      </c>
      <c r="E32" s="122"/>
      <c r="F32" s="86">
        <f t="shared" si="0"/>
        <v>1400000</v>
      </c>
    </row>
    <row r="33" spans="2:8" ht="15" customHeight="1" x14ac:dyDescent="0.25">
      <c r="B33" s="97" t="s">
        <v>455</v>
      </c>
      <c r="C33" s="106" t="s">
        <v>456</v>
      </c>
      <c r="D33" s="86">
        <f>D22+D23+D24+D25+D31+D32</f>
        <v>96300000</v>
      </c>
      <c r="E33" s="122"/>
      <c r="F33" s="86">
        <f t="shared" si="0"/>
        <v>96300000</v>
      </c>
      <c r="H33" s="88"/>
    </row>
    <row r="34" spans="2:8" ht="15" customHeight="1" x14ac:dyDescent="0.25">
      <c r="B34" s="99" t="s">
        <v>457</v>
      </c>
      <c r="C34" s="93" t="s">
        <v>458</v>
      </c>
      <c r="D34" s="122"/>
      <c r="E34" s="122"/>
      <c r="F34" s="86">
        <f t="shared" si="0"/>
        <v>0</v>
      </c>
    </row>
    <row r="35" spans="2:8" ht="15" customHeight="1" x14ac:dyDescent="0.25">
      <c r="B35" s="99" t="s">
        <v>459</v>
      </c>
      <c r="C35" s="93" t="s">
        <v>460</v>
      </c>
      <c r="D35" s="84">
        <f>SUM('ÖNK bevétel cofogra'!E218)</f>
        <v>686000</v>
      </c>
      <c r="E35" s="122"/>
      <c r="F35" s="86">
        <f t="shared" si="0"/>
        <v>686000</v>
      </c>
    </row>
    <row r="36" spans="2:8" ht="15" customHeight="1" x14ac:dyDescent="0.25">
      <c r="B36" s="99" t="s">
        <v>461</v>
      </c>
      <c r="C36" s="93" t="s">
        <v>462</v>
      </c>
      <c r="D36" s="84">
        <f>SUM('ÖNK bevétel cofogra'!E219)</f>
        <v>3683040</v>
      </c>
      <c r="E36" s="122"/>
      <c r="F36" s="86">
        <f t="shared" si="0"/>
        <v>3683040</v>
      </c>
    </row>
    <row r="37" spans="2:8" ht="15" customHeight="1" x14ac:dyDescent="0.25">
      <c r="B37" s="99" t="s">
        <v>463</v>
      </c>
      <c r="C37" s="93" t="s">
        <v>464</v>
      </c>
      <c r="D37" s="84">
        <f>SUM('ÖNK bevétel cofogra'!E220)</f>
        <v>15000000</v>
      </c>
      <c r="E37" s="122"/>
      <c r="F37" s="86">
        <f t="shared" si="0"/>
        <v>15000000</v>
      </c>
    </row>
    <row r="38" spans="2:8" ht="15" customHeight="1" x14ac:dyDescent="0.25">
      <c r="B38" s="99" t="s">
        <v>465</v>
      </c>
      <c r="C38" s="93" t="s">
        <v>466</v>
      </c>
      <c r="D38" s="122">
        <f>SUM('ÖNK bevétel cofogra'!E221)</f>
        <v>130000</v>
      </c>
      <c r="E38" s="122"/>
      <c r="F38" s="86">
        <f t="shared" si="0"/>
        <v>130000</v>
      </c>
    </row>
    <row r="39" spans="2:8" ht="15" customHeight="1" x14ac:dyDescent="0.25">
      <c r="B39" s="99" t="s">
        <v>467</v>
      </c>
      <c r="C39" s="93" t="s">
        <v>468</v>
      </c>
      <c r="D39" s="84">
        <f>SUM('ÖNK bevétel cofogra'!E222)</f>
        <v>1212000</v>
      </c>
      <c r="E39" s="122"/>
      <c r="F39" s="86">
        <f t="shared" ref="F39:F70" si="1">SUM(D39:E39)</f>
        <v>1212000</v>
      </c>
    </row>
    <row r="40" spans="2:8" ht="15" customHeight="1" x14ac:dyDescent="0.25">
      <c r="B40" s="99" t="s">
        <v>469</v>
      </c>
      <c r="C40" s="93" t="s">
        <v>470</v>
      </c>
      <c r="D40" s="122"/>
      <c r="E40" s="122"/>
      <c r="F40" s="86">
        <f t="shared" si="1"/>
        <v>0</v>
      </c>
    </row>
    <row r="41" spans="2:8" ht="15" customHeight="1" x14ac:dyDescent="0.25">
      <c r="B41" s="99" t="s">
        <v>51</v>
      </c>
      <c r="C41" s="93" t="s">
        <v>471</v>
      </c>
      <c r="D41" s="84">
        <f>SUM('ÖNK bevétel cofogra'!E223)</f>
        <v>1000</v>
      </c>
      <c r="E41" s="122"/>
      <c r="F41" s="86">
        <f t="shared" si="1"/>
        <v>1000</v>
      </c>
    </row>
    <row r="42" spans="2:8" ht="15" customHeight="1" x14ac:dyDescent="0.25">
      <c r="B42" s="99" t="s">
        <v>472</v>
      </c>
      <c r="C42" s="93" t="s">
        <v>473</v>
      </c>
      <c r="D42" s="122"/>
      <c r="E42" s="122"/>
      <c r="F42" s="86">
        <f t="shared" si="1"/>
        <v>0</v>
      </c>
    </row>
    <row r="43" spans="2:8" ht="15" customHeight="1" x14ac:dyDescent="0.25">
      <c r="B43" s="99" t="s">
        <v>474</v>
      </c>
      <c r="C43" s="93" t="s">
        <v>873</v>
      </c>
      <c r="D43" s="84">
        <f>SUM('ÖNK bevétel cofogra'!E224)</f>
        <v>5000</v>
      </c>
      <c r="E43" s="122"/>
      <c r="F43" s="86">
        <f t="shared" si="1"/>
        <v>5000</v>
      </c>
    </row>
    <row r="44" spans="2:8" ht="15" customHeight="1" x14ac:dyDescent="0.25">
      <c r="B44" s="101" t="s">
        <v>476</v>
      </c>
      <c r="C44" s="106" t="s">
        <v>477</v>
      </c>
      <c r="D44" s="86">
        <f>SUM(D34:D43)</f>
        <v>20717040</v>
      </c>
      <c r="E44" s="122"/>
      <c r="F44" s="86">
        <f t="shared" si="1"/>
        <v>20717040</v>
      </c>
    </row>
    <row r="45" spans="2:8" ht="28.5" customHeight="1" x14ac:dyDescent="0.25">
      <c r="B45" s="99" t="s">
        <v>478</v>
      </c>
      <c r="C45" s="93" t="s">
        <v>479</v>
      </c>
      <c r="D45" s="122"/>
      <c r="E45" s="122"/>
      <c r="F45" s="86">
        <f t="shared" si="1"/>
        <v>0</v>
      </c>
    </row>
    <row r="46" spans="2:8" ht="19.5" customHeight="1" x14ac:dyDescent="0.25">
      <c r="B46" s="90" t="s">
        <v>480</v>
      </c>
      <c r="C46" s="93" t="s">
        <v>481</v>
      </c>
      <c r="D46" s="84"/>
      <c r="E46" s="122"/>
      <c r="F46" s="86">
        <f t="shared" si="1"/>
        <v>0</v>
      </c>
    </row>
    <row r="47" spans="2:8" ht="19.5" customHeight="1" x14ac:dyDescent="0.25">
      <c r="B47" s="99" t="s">
        <v>482</v>
      </c>
      <c r="C47" s="93" t="s">
        <v>483</v>
      </c>
      <c r="D47" s="84"/>
      <c r="E47" s="122"/>
      <c r="F47" s="86">
        <f t="shared" si="1"/>
        <v>0</v>
      </c>
    </row>
    <row r="48" spans="2:8" ht="15" customHeight="1" x14ac:dyDescent="0.25">
      <c r="B48" s="97" t="s">
        <v>484</v>
      </c>
      <c r="C48" s="106" t="s">
        <v>485</v>
      </c>
      <c r="D48" s="86">
        <f>D45+D46+D47</f>
        <v>0</v>
      </c>
      <c r="E48" s="122"/>
      <c r="F48" s="86">
        <f t="shared" si="1"/>
        <v>0</v>
      </c>
    </row>
    <row r="49" spans="2:6" ht="15" customHeight="1" x14ac:dyDescent="0.25">
      <c r="B49" s="223" t="s">
        <v>599</v>
      </c>
      <c r="C49" s="210"/>
      <c r="D49" s="211">
        <f>D19+D33+D44+D48</f>
        <v>276385905.15557933</v>
      </c>
      <c r="E49" s="212"/>
      <c r="F49" s="211">
        <f t="shared" si="1"/>
        <v>276385905.15557933</v>
      </c>
    </row>
    <row r="50" spans="2:6" ht="21.75" customHeight="1" x14ac:dyDescent="0.25">
      <c r="B50" s="90" t="s">
        <v>486</v>
      </c>
      <c r="C50" s="93" t="s">
        <v>487</v>
      </c>
      <c r="D50" s="122">
        <f>SUM('ÖNK bevétel cofogra'!E201)</f>
        <v>0</v>
      </c>
      <c r="E50" s="122"/>
      <c r="F50" s="86">
        <f t="shared" si="1"/>
        <v>0</v>
      </c>
    </row>
    <row r="51" spans="2:6" ht="21" customHeight="1" x14ac:dyDescent="0.25">
      <c r="B51" s="90" t="s">
        <v>488</v>
      </c>
      <c r="C51" s="93" t="s">
        <v>489</v>
      </c>
      <c r="D51" s="122"/>
      <c r="E51" s="122"/>
      <c r="F51" s="86">
        <f t="shared" si="1"/>
        <v>0</v>
      </c>
    </row>
    <row r="52" spans="2:6" ht="27" customHeight="1" x14ac:dyDescent="0.25">
      <c r="B52" s="90" t="s">
        <v>490</v>
      </c>
      <c r="C52" s="93" t="s">
        <v>491</v>
      </c>
      <c r="D52" s="122"/>
      <c r="E52" s="122"/>
      <c r="F52" s="86">
        <f t="shared" si="1"/>
        <v>0</v>
      </c>
    </row>
    <row r="53" spans="2:6" ht="25.5" customHeight="1" x14ac:dyDescent="0.25">
      <c r="B53" s="90" t="s">
        <v>492</v>
      </c>
      <c r="C53" s="93" t="s">
        <v>493</v>
      </c>
      <c r="D53" s="122"/>
      <c r="E53" s="122"/>
      <c r="F53" s="86">
        <f t="shared" si="1"/>
        <v>0</v>
      </c>
    </row>
    <row r="54" spans="2:6" ht="21" customHeight="1" x14ac:dyDescent="0.25">
      <c r="B54" s="90" t="s">
        <v>494</v>
      </c>
      <c r="C54" s="93" t="s">
        <v>495</v>
      </c>
      <c r="D54" s="84">
        <f>SUM('ÖNK bevétel cofogra'!E202)</f>
        <v>0</v>
      </c>
      <c r="E54" s="122"/>
      <c r="F54" s="86">
        <f t="shared" si="1"/>
        <v>0</v>
      </c>
    </row>
    <row r="55" spans="2:6" ht="15" customHeight="1" x14ac:dyDescent="0.25">
      <c r="B55" s="97" t="s">
        <v>496</v>
      </c>
      <c r="C55" s="106" t="s">
        <v>33</v>
      </c>
      <c r="D55" s="86">
        <f>SUM(D50:D54)</f>
        <v>0</v>
      </c>
      <c r="E55" s="122"/>
      <c r="F55" s="86">
        <f t="shared" si="1"/>
        <v>0</v>
      </c>
    </row>
    <row r="56" spans="2:6" ht="15" customHeight="1" x14ac:dyDescent="0.25">
      <c r="B56" s="99" t="s">
        <v>497</v>
      </c>
      <c r="C56" s="93" t="s">
        <v>498</v>
      </c>
      <c r="D56" s="122"/>
      <c r="E56" s="122"/>
      <c r="F56" s="86">
        <f t="shared" si="1"/>
        <v>0</v>
      </c>
    </row>
    <row r="57" spans="2:6" ht="15" customHeight="1" x14ac:dyDescent="0.25">
      <c r="B57" s="99" t="s">
        <v>499</v>
      </c>
      <c r="C57" s="93" t="s">
        <v>500</v>
      </c>
      <c r="D57" s="122">
        <f>SUM('ÖNK bevétel cofogra'!F227)</f>
        <v>4488000</v>
      </c>
      <c r="E57" s="122"/>
      <c r="F57" s="86">
        <f t="shared" si="1"/>
        <v>4488000</v>
      </c>
    </row>
    <row r="58" spans="2:6" ht="15" customHeight="1" x14ac:dyDescent="0.25">
      <c r="B58" s="99" t="s">
        <v>501</v>
      </c>
      <c r="C58" s="93" t="s">
        <v>502</v>
      </c>
      <c r="D58" s="122"/>
      <c r="E58" s="122"/>
      <c r="F58" s="86">
        <f t="shared" si="1"/>
        <v>0</v>
      </c>
    </row>
    <row r="59" spans="2:6" ht="15" customHeight="1" x14ac:dyDescent="0.25">
      <c r="B59" s="99" t="s">
        <v>503</v>
      </c>
      <c r="C59" s="93" t="s">
        <v>504</v>
      </c>
      <c r="D59" s="122"/>
      <c r="E59" s="122"/>
      <c r="F59" s="86">
        <f t="shared" si="1"/>
        <v>0</v>
      </c>
    </row>
    <row r="60" spans="2:6" ht="15" customHeight="1" x14ac:dyDescent="0.25">
      <c r="B60" s="99" t="s">
        <v>505</v>
      </c>
      <c r="C60" s="93" t="s">
        <v>506</v>
      </c>
      <c r="D60" s="122"/>
      <c r="E60" s="122"/>
      <c r="F60" s="86">
        <f t="shared" si="1"/>
        <v>0</v>
      </c>
    </row>
    <row r="61" spans="2:6" ht="15" customHeight="1" x14ac:dyDescent="0.25">
      <c r="B61" s="97" t="s">
        <v>507</v>
      </c>
      <c r="C61" s="106" t="s">
        <v>508</v>
      </c>
      <c r="D61" s="124">
        <f>SUM(D56:D60)</f>
        <v>4488000</v>
      </c>
      <c r="E61" s="122"/>
      <c r="F61" s="86">
        <f t="shared" si="1"/>
        <v>4488000</v>
      </c>
    </row>
    <row r="62" spans="2:6" ht="15" customHeight="1" x14ac:dyDescent="0.25">
      <c r="B62" s="99" t="s">
        <v>509</v>
      </c>
      <c r="C62" s="93" t="s">
        <v>510</v>
      </c>
      <c r="D62" s="122"/>
      <c r="E62" s="122"/>
      <c r="F62" s="86">
        <f t="shared" si="1"/>
        <v>0</v>
      </c>
    </row>
    <row r="63" spans="2:6" ht="32.25" customHeight="1" x14ac:dyDescent="0.25">
      <c r="B63" s="90" t="s">
        <v>511</v>
      </c>
      <c r="C63" s="93" t="s">
        <v>602</v>
      </c>
      <c r="D63" s="84">
        <f>SUM('ÖNK bevétel cofogra'!E228)</f>
        <v>500000</v>
      </c>
      <c r="E63" s="122"/>
      <c r="F63" s="86">
        <f t="shared" si="1"/>
        <v>500000</v>
      </c>
    </row>
    <row r="64" spans="2:6" ht="15" customHeight="1" x14ac:dyDescent="0.25">
      <c r="B64" s="99" t="s">
        <v>513</v>
      </c>
      <c r="C64" s="93" t="s">
        <v>603</v>
      </c>
      <c r="D64" s="122"/>
      <c r="E64" s="122"/>
      <c r="F64" s="86">
        <f t="shared" si="1"/>
        <v>0</v>
      </c>
    </row>
    <row r="65" spans="2:6" ht="15" customHeight="1" x14ac:dyDescent="0.25">
      <c r="B65" s="97" t="s">
        <v>515</v>
      </c>
      <c r="C65" s="106" t="s">
        <v>516</v>
      </c>
      <c r="D65" s="86">
        <f>SUM(D62:D64)</f>
        <v>500000</v>
      </c>
      <c r="E65" s="122"/>
      <c r="F65" s="86">
        <f t="shared" si="1"/>
        <v>500000</v>
      </c>
    </row>
    <row r="66" spans="2:6" ht="15" customHeight="1" x14ac:dyDescent="0.25">
      <c r="B66" s="217" t="s">
        <v>600</v>
      </c>
      <c r="C66" s="125"/>
      <c r="D66" s="211">
        <f>D55+D61+D65</f>
        <v>4988000</v>
      </c>
      <c r="E66" s="212"/>
      <c r="F66" s="211">
        <f t="shared" si="1"/>
        <v>4988000</v>
      </c>
    </row>
    <row r="67" spans="2:6" ht="15.75" x14ac:dyDescent="0.25">
      <c r="B67" s="213" t="s">
        <v>517</v>
      </c>
      <c r="C67" s="214" t="s">
        <v>518</v>
      </c>
      <c r="D67" s="215">
        <f>SUM(D49+D66)</f>
        <v>281373905.15557933</v>
      </c>
      <c r="E67" s="216"/>
      <c r="F67" s="215">
        <f t="shared" si="1"/>
        <v>281373905.15557933</v>
      </c>
    </row>
    <row r="68" spans="2:6" ht="15.75" x14ac:dyDescent="0.25">
      <c r="B68" s="218" t="s">
        <v>519</v>
      </c>
      <c r="C68" s="219"/>
      <c r="D68" s="220">
        <f>SUM(D49-'Kiadások ÖNK'!D75)</f>
        <v>-123262256.99442065</v>
      </c>
      <c r="E68" s="221"/>
      <c r="F68" s="222">
        <f t="shared" si="1"/>
        <v>-123262256.99442065</v>
      </c>
    </row>
    <row r="69" spans="2:6" ht="15.75" x14ac:dyDescent="0.25">
      <c r="B69" s="218" t="s">
        <v>520</v>
      </c>
      <c r="C69" s="219"/>
      <c r="D69" s="220">
        <f>SUM(D66-'Kiadások ÖNK'!D98)</f>
        <v>-48597964</v>
      </c>
      <c r="E69" s="221"/>
      <c r="F69" s="222">
        <f t="shared" si="1"/>
        <v>-48597964</v>
      </c>
    </row>
    <row r="70" spans="2:6" x14ac:dyDescent="0.25">
      <c r="B70" s="112" t="s">
        <v>521</v>
      </c>
      <c r="C70" s="90" t="s">
        <v>522</v>
      </c>
      <c r="D70" s="122"/>
      <c r="E70" s="122"/>
      <c r="F70" s="86">
        <f t="shared" si="1"/>
        <v>0</v>
      </c>
    </row>
    <row r="71" spans="2:6" x14ac:dyDescent="0.25">
      <c r="B71" s="99" t="s">
        <v>523</v>
      </c>
      <c r="C71" s="90" t="s">
        <v>524</v>
      </c>
      <c r="D71" s="122"/>
      <c r="E71" s="122"/>
      <c r="F71" s="86">
        <f t="shared" ref="F71:F97" si="2">SUM(D71:E71)</f>
        <v>0</v>
      </c>
    </row>
    <row r="72" spans="2:6" x14ac:dyDescent="0.25">
      <c r="B72" s="112" t="s">
        <v>525</v>
      </c>
      <c r="C72" s="90" t="s">
        <v>526</v>
      </c>
      <c r="D72" s="122"/>
      <c r="E72" s="122"/>
      <c r="F72" s="86">
        <f t="shared" si="2"/>
        <v>0</v>
      </c>
    </row>
    <row r="73" spans="2:6" x14ac:dyDescent="0.25">
      <c r="B73" s="110" t="s">
        <v>527</v>
      </c>
      <c r="C73" s="94" t="s">
        <v>528</v>
      </c>
      <c r="D73" s="124">
        <f>SUM(D70:D72)</f>
        <v>0</v>
      </c>
      <c r="E73" s="122"/>
      <c r="F73" s="86">
        <f t="shared" si="2"/>
        <v>0</v>
      </c>
    </row>
    <row r="74" spans="2:6" x14ac:dyDescent="0.25">
      <c r="B74" s="99" t="s">
        <v>529</v>
      </c>
      <c r="C74" s="90" t="s">
        <v>530</v>
      </c>
      <c r="D74" s="122"/>
      <c r="E74" s="122"/>
      <c r="F74" s="86">
        <f t="shared" si="2"/>
        <v>0</v>
      </c>
    </row>
    <row r="75" spans="2:6" x14ac:dyDescent="0.25">
      <c r="B75" s="112" t="s">
        <v>531</v>
      </c>
      <c r="C75" s="90" t="s">
        <v>532</v>
      </c>
      <c r="D75" s="122"/>
      <c r="E75" s="122"/>
      <c r="F75" s="86">
        <f t="shared" si="2"/>
        <v>0</v>
      </c>
    </row>
    <row r="76" spans="2:6" x14ac:dyDescent="0.25">
      <c r="B76" s="99" t="s">
        <v>533</v>
      </c>
      <c r="C76" s="90" t="s">
        <v>534</v>
      </c>
      <c r="D76" s="122"/>
      <c r="E76" s="122"/>
      <c r="F76" s="86">
        <f t="shared" si="2"/>
        <v>0</v>
      </c>
    </row>
    <row r="77" spans="2:6" x14ac:dyDescent="0.25">
      <c r="B77" s="112" t="s">
        <v>535</v>
      </c>
      <c r="C77" s="90" t="s">
        <v>536</v>
      </c>
      <c r="D77" s="122"/>
      <c r="E77" s="122"/>
      <c r="F77" s="86">
        <f t="shared" si="2"/>
        <v>0</v>
      </c>
    </row>
    <row r="78" spans="2:6" x14ac:dyDescent="0.25">
      <c r="B78" s="114" t="s">
        <v>537</v>
      </c>
      <c r="C78" s="94" t="s">
        <v>538</v>
      </c>
      <c r="D78" s="124">
        <f>SUM(D74:D77)</f>
        <v>0</v>
      </c>
      <c r="E78" s="122"/>
      <c r="F78" s="86">
        <f t="shared" si="2"/>
        <v>0</v>
      </c>
    </row>
    <row r="79" spans="2:6" x14ac:dyDescent="0.25">
      <c r="B79" s="90" t="s">
        <v>539</v>
      </c>
      <c r="C79" s="90" t="s">
        <v>540</v>
      </c>
      <c r="D79" s="84">
        <f>SUM('ÖNK bevétel cofogra'!F233)</f>
        <v>254840111</v>
      </c>
      <c r="E79" s="122"/>
      <c r="F79" s="86">
        <f t="shared" si="2"/>
        <v>254840111</v>
      </c>
    </row>
    <row r="80" spans="2:6" x14ac:dyDescent="0.25">
      <c r="B80" s="90" t="s">
        <v>541</v>
      </c>
      <c r="C80" s="90" t="s">
        <v>540</v>
      </c>
      <c r="D80" s="84"/>
      <c r="E80" s="122"/>
      <c r="F80" s="86">
        <f t="shared" si="2"/>
        <v>0</v>
      </c>
    </row>
    <row r="81" spans="2:6" x14ac:dyDescent="0.25">
      <c r="B81" s="90" t="s">
        <v>542</v>
      </c>
      <c r="C81" s="90" t="s">
        <v>543</v>
      </c>
      <c r="D81" s="122"/>
      <c r="E81" s="122"/>
      <c r="F81" s="86">
        <f t="shared" si="2"/>
        <v>0</v>
      </c>
    </row>
    <row r="82" spans="2:6" x14ac:dyDescent="0.25">
      <c r="B82" s="90" t="s">
        <v>544</v>
      </c>
      <c r="C82" s="90" t="s">
        <v>543</v>
      </c>
      <c r="D82" s="122"/>
      <c r="E82" s="122"/>
      <c r="F82" s="86">
        <f t="shared" si="2"/>
        <v>0</v>
      </c>
    </row>
    <row r="83" spans="2:6" x14ac:dyDescent="0.25">
      <c r="B83" s="94" t="s">
        <v>545</v>
      </c>
      <c r="C83" s="94" t="s">
        <v>546</v>
      </c>
      <c r="D83" s="86">
        <f>SUM(D79:D82)</f>
        <v>254840111</v>
      </c>
      <c r="E83" s="122"/>
      <c r="F83" s="86">
        <f t="shared" si="2"/>
        <v>254840111</v>
      </c>
    </row>
    <row r="84" spans="2:6" x14ac:dyDescent="0.25">
      <c r="B84" s="112" t="s">
        <v>99</v>
      </c>
      <c r="C84" s="90" t="s">
        <v>547</v>
      </c>
      <c r="D84" s="84"/>
      <c r="E84" s="122"/>
      <c r="F84" s="86">
        <f t="shared" si="2"/>
        <v>0</v>
      </c>
    </row>
    <row r="85" spans="2:6" x14ac:dyDescent="0.25">
      <c r="B85" s="112" t="s">
        <v>548</v>
      </c>
      <c r="C85" s="90" t="s">
        <v>549</v>
      </c>
      <c r="D85" s="122"/>
      <c r="E85" s="122"/>
      <c r="F85" s="86">
        <f t="shared" si="2"/>
        <v>0</v>
      </c>
    </row>
    <row r="86" spans="2:6" x14ac:dyDescent="0.25">
      <c r="B86" s="112" t="s">
        <v>550</v>
      </c>
      <c r="C86" s="90" t="s">
        <v>551</v>
      </c>
      <c r="D86" s="122"/>
      <c r="E86" s="122"/>
      <c r="F86" s="86">
        <f t="shared" si="2"/>
        <v>0</v>
      </c>
    </row>
    <row r="87" spans="2:6" x14ac:dyDescent="0.25">
      <c r="B87" s="112" t="s">
        <v>552</v>
      </c>
      <c r="C87" s="90" t="s">
        <v>553</v>
      </c>
      <c r="D87" s="122"/>
      <c r="E87" s="122"/>
      <c r="F87" s="86">
        <f t="shared" si="2"/>
        <v>0</v>
      </c>
    </row>
    <row r="88" spans="2:6" x14ac:dyDescent="0.25">
      <c r="B88" s="99" t="s">
        <v>554</v>
      </c>
      <c r="C88" s="90" t="s">
        <v>555</v>
      </c>
      <c r="D88" s="122"/>
      <c r="E88" s="122"/>
      <c r="F88" s="86">
        <f t="shared" si="2"/>
        <v>0</v>
      </c>
    </row>
    <row r="89" spans="2:6" x14ac:dyDescent="0.25">
      <c r="B89" s="110" t="s">
        <v>556</v>
      </c>
      <c r="C89" s="94" t="s">
        <v>557</v>
      </c>
      <c r="D89" s="86">
        <f>D73+D78+D83+D84+D85+D86+D87+D88</f>
        <v>254840111</v>
      </c>
      <c r="E89" s="122"/>
      <c r="F89" s="86">
        <f t="shared" si="2"/>
        <v>254840111</v>
      </c>
    </row>
    <row r="90" spans="2:6" x14ac:dyDescent="0.25">
      <c r="B90" s="99" t="s">
        <v>558</v>
      </c>
      <c r="C90" s="90" t="s">
        <v>559</v>
      </c>
      <c r="D90" s="122"/>
      <c r="E90" s="122"/>
      <c r="F90" s="86">
        <f t="shared" si="2"/>
        <v>0</v>
      </c>
    </row>
    <row r="91" spans="2:6" x14ac:dyDescent="0.25">
      <c r="B91" s="99" t="s">
        <v>560</v>
      </c>
      <c r="C91" s="90" t="s">
        <v>561</v>
      </c>
      <c r="D91" s="122"/>
      <c r="E91" s="122"/>
      <c r="F91" s="86">
        <f t="shared" si="2"/>
        <v>0</v>
      </c>
    </row>
    <row r="92" spans="2:6" x14ac:dyDescent="0.25">
      <c r="B92" s="112" t="s">
        <v>562</v>
      </c>
      <c r="C92" s="90" t="s">
        <v>563</v>
      </c>
      <c r="D92" s="122"/>
      <c r="E92" s="122"/>
      <c r="F92" s="86">
        <f t="shared" si="2"/>
        <v>0</v>
      </c>
    </row>
    <row r="93" spans="2:6" x14ac:dyDescent="0.25">
      <c r="B93" s="112" t="s">
        <v>564</v>
      </c>
      <c r="C93" s="90" t="s">
        <v>565</v>
      </c>
      <c r="D93" s="122"/>
      <c r="E93" s="122"/>
      <c r="F93" s="86">
        <f t="shared" si="2"/>
        <v>0</v>
      </c>
    </row>
    <row r="94" spans="2:6" x14ac:dyDescent="0.25">
      <c r="B94" s="114" t="s">
        <v>566</v>
      </c>
      <c r="C94" s="94" t="s">
        <v>567</v>
      </c>
      <c r="D94" s="124">
        <f>SUM(D90:D93)</f>
        <v>0</v>
      </c>
      <c r="E94" s="122"/>
      <c r="F94" s="86">
        <f t="shared" si="2"/>
        <v>0</v>
      </c>
    </row>
    <row r="95" spans="2:6" x14ac:dyDescent="0.25">
      <c r="B95" s="110" t="s">
        <v>568</v>
      </c>
      <c r="C95" s="94" t="s">
        <v>569</v>
      </c>
      <c r="D95" s="122"/>
      <c r="E95" s="122"/>
      <c r="F95" s="86">
        <f t="shared" si="2"/>
        <v>0</v>
      </c>
    </row>
    <row r="96" spans="2:6" ht="15.75" x14ac:dyDescent="0.25">
      <c r="B96" s="228" t="s">
        <v>570</v>
      </c>
      <c r="C96" s="229" t="s">
        <v>571</v>
      </c>
      <c r="D96" s="226">
        <f>D89+D94+D95</f>
        <v>254840111</v>
      </c>
      <c r="E96" s="227"/>
      <c r="F96" s="226">
        <f t="shared" si="2"/>
        <v>254840111</v>
      </c>
    </row>
    <row r="97" spans="2:6" ht="15.75" x14ac:dyDescent="0.25">
      <c r="B97" s="230" t="s">
        <v>572</v>
      </c>
      <c r="C97" s="231"/>
      <c r="D97" s="232">
        <f>D67+D96</f>
        <v>536214016.15557933</v>
      </c>
      <c r="E97" s="233"/>
      <c r="F97" s="232">
        <f t="shared" si="2"/>
        <v>536214016.15557933</v>
      </c>
    </row>
    <row r="99" spans="2:6" x14ac:dyDescent="0.25">
      <c r="D99" s="369">
        <f>SUM('ÖNK bevétel cofogra'!F234)</f>
        <v>536214016.15557933</v>
      </c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Normal="100" workbookViewId="0">
      <selection activeCell="B1" sqref="B1"/>
    </sheetView>
  </sheetViews>
  <sheetFormatPr defaultRowHeight="15" x14ac:dyDescent="0.25"/>
  <cols>
    <col min="1" max="1" width="3.28515625" style="77" customWidth="1"/>
    <col min="2" max="2" width="73.7109375" style="77" customWidth="1"/>
    <col min="3" max="3" width="13.5703125" style="77" customWidth="1"/>
    <col min="4" max="4" width="13" style="77" customWidth="1"/>
    <col min="5" max="5" width="11.140625" style="77" customWidth="1"/>
    <col min="6" max="6" width="13.140625" style="77" customWidth="1"/>
    <col min="7" max="256" width="8.7109375" style="77"/>
    <col min="257" max="257" width="92.5703125" style="77" customWidth="1"/>
    <col min="258" max="258" width="8.7109375" style="77"/>
    <col min="259" max="259" width="13" style="77" customWidth="1"/>
    <col min="260" max="260" width="14.140625" style="77" customWidth="1"/>
    <col min="261" max="261" width="15.5703125" style="77" customWidth="1"/>
    <col min="262" max="262" width="13.140625" style="77" customWidth="1"/>
    <col min="263" max="512" width="8.7109375" style="77"/>
    <col min="513" max="513" width="92.5703125" style="77" customWidth="1"/>
    <col min="514" max="514" width="8.7109375" style="77"/>
    <col min="515" max="515" width="13" style="77" customWidth="1"/>
    <col min="516" max="516" width="14.140625" style="77" customWidth="1"/>
    <col min="517" max="517" width="15.5703125" style="77" customWidth="1"/>
    <col min="518" max="518" width="13.140625" style="77" customWidth="1"/>
    <col min="519" max="768" width="8.7109375" style="77"/>
    <col min="769" max="769" width="92.5703125" style="77" customWidth="1"/>
    <col min="770" max="770" width="8.7109375" style="77"/>
    <col min="771" max="771" width="13" style="77" customWidth="1"/>
    <col min="772" max="772" width="14.140625" style="77" customWidth="1"/>
    <col min="773" max="773" width="15.5703125" style="77" customWidth="1"/>
    <col min="774" max="774" width="13.140625" style="77" customWidth="1"/>
    <col min="775" max="1024" width="8.7109375" style="77"/>
    <col min="1025" max="1025" width="92.5703125" style="77" customWidth="1"/>
    <col min="1026" max="1026" width="8.7109375" style="77"/>
    <col min="1027" max="1027" width="13" style="77" customWidth="1"/>
    <col min="1028" max="1028" width="14.140625" style="77" customWidth="1"/>
    <col min="1029" max="1029" width="15.5703125" style="77" customWidth="1"/>
    <col min="1030" max="1030" width="13.140625" style="77" customWidth="1"/>
    <col min="1031" max="1280" width="8.7109375" style="77"/>
    <col min="1281" max="1281" width="92.5703125" style="77" customWidth="1"/>
    <col min="1282" max="1282" width="8.7109375" style="77"/>
    <col min="1283" max="1283" width="13" style="77" customWidth="1"/>
    <col min="1284" max="1284" width="14.140625" style="77" customWidth="1"/>
    <col min="1285" max="1285" width="15.5703125" style="77" customWidth="1"/>
    <col min="1286" max="1286" width="13.140625" style="77" customWidth="1"/>
    <col min="1287" max="1536" width="8.7109375" style="77"/>
    <col min="1537" max="1537" width="92.5703125" style="77" customWidth="1"/>
    <col min="1538" max="1538" width="8.7109375" style="77"/>
    <col min="1539" max="1539" width="13" style="77" customWidth="1"/>
    <col min="1540" max="1540" width="14.140625" style="77" customWidth="1"/>
    <col min="1541" max="1541" width="15.5703125" style="77" customWidth="1"/>
    <col min="1542" max="1542" width="13.140625" style="77" customWidth="1"/>
    <col min="1543" max="1792" width="8.7109375" style="77"/>
    <col min="1793" max="1793" width="92.5703125" style="77" customWidth="1"/>
    <col min="1794" max="1794" width="8.7109375" style="77"/>
    <col min="1795" max="1795" width="13" style="77" customWidth="1"/>
    <col min="1796" max="1796" width="14.140625" style="77" customWidth="1"/>
    <col min="1797" max="1797" width="15.5703125" style="77" customWidth="1"/>
    <col min="1798" max="1798" width="13.140625" style="77" customWidth="1"/>
    <col min="1799" max="2048" width="8.7109375" style="77"/>
    <col min="2049" max="2049" width="92.5703125" style="77" customWidth="1"/>
    <col min="2050" max="2050" width="8.7109375" style="77"/>
    <col min="2051" max="2051" width="13" style="77" customWidth="1"/>
    <col min="2052" max="2052" width="14.140625" style="77" customWidth="1"/>
    <col min="2053" max="2053" width="15.5703125" style="77" customWidth="1"/>
    <col min="2054" max="2054" width="13.140625" style="77" customWidth="1"/>
    <col min="2055" max="2304" width="8.7109375" style="77"/>
    <col min="2305" max="2305" width="92.5703125" style="77" customWidth="1"/>
    <col min="2306" max="2306" width="8.7109375" style="77"/>
    <col min="2307" max="2307" width="13" style="77" customWidth="1"/>
    <col min="2308" max="2308" width="14.140625" style="77" customWidth="1"/>
    <col min="2309" max="2309" width="15.5703125" style="77" customWidth="1"/>
    <col min="2310" max="2310" width="13.140625" style="77" customWidth="1"/>
    <col min="2311" max="2560" width="8.7109375" style="77"/>
    <col min="2561" max="2561" width="92.5703125" style="77" customWidth="1"/>
    <col min="2562" max="2562" width="8.7109375" style="77"/>
    <col min="2563" max="2563" width="13" style="77" customWidth="1"/>
    <col min="2564" max="2564" width="14.140625" style="77" customWidth="1"/>
    <col min="2565" max="2565" width="15.5703125" style="77" customWidth="1"/>
    <col min="2566" max="2566" width="13.140625" style="77" customWidth="1"/>
    <col min="2567" max="2816" width="8.7109375" style="77"/>
    <col min="2817" max="2817" width="92.5703125" style="77" customWidth="1"/>
    <col min="2818" max="2818" width="8.7109375" style="77"/>
    <col min="2819" max="2819" width="13" style="77" customWidth="1"/>
    <col min="2820" max="2820" width="14.140625" style="77" customWidth="1"/>
    <col min="2821" max="2821" width="15.5703125" style="77" customWidth="1"/>
    <col min="2822" max="2822" width="13.140625" style="77" customWidth="1"/>
    <col min="2823" max="3072" width="8.7109375" style="77"/>
    <col min="3073" max="3073" width="92.5703125" style="77" customWidth="1"/>
    <col min="3074" max="3074" width="8.7109375" style="77"/>
    <col min="3075" max="3075" width="13" style="77" customWidth="1"/>
    <col min="3076" max="3076" width="14.140625" style="77" customWidth="1"/>
    <col min="3077" max="3077" width="15.5703125" style="77" customWidth="1"/>
    <col min="3078" max="3078" width="13.140625" style="77" customWidth="1"/>
    <col min="3079" max="3328" width="8.7109375" style="77"/>
    <col min="3329" max="3329" width="92.5703125" style="77" customWidth="1"/>
    <col min="3330" max="3330" width="8.7109375" style="77"/>
    <col min="3331" max="3331" width="13" style="77" customWidth="1"/>
    <col min="3332" max="3332" width="14.140625" style="77" customWidth="1"/>
    <col min="3333" max="3333" width="15.5703125" style="77" customWidth="1"/>
    <col min="3334" max="3334" width="13.140625" style="77" customWidth="1"/>
    <col min="3335" max="3584" width="8.7109375" style="77"/>
    <col min="3585" max="3585" width="92.5703125" style="77" customWidth="1"/>
    <col min="3586" max="3586" width="8.7109375" style="77"/>
    <col min="3587" max="3587" width="13" style="77" customWidth="1"/>
    <col min="3588" max="3588" width="14.140625" style="77" customWidth="1"/>
    <col min="3589" max="3589" width="15.5703125" style="77" customWidth="1"/>
    <col min="3590" max="3590" width="13.140625" style="77" customWidth="1"/>
    <col min="3591" max="3840" width="8.7109375" style="77"/>
    <col min="3841" max="3841" width="92.5703125" style="77" customWidth="1"/>
    <col min="3842" max="3842" width="8.7109375" style="77"/>
    <col min="3843" max="3843" width="13" style="77" customWidth="1"/>
    <col min="3844" max="3844" width="14.140625" style="77" customWidth="1"/>
    <col min="3845" max="3845" width="15.5703125" style="77" customWidth="1"/>
    <col min="3846" max="3846" width="13.140625" style="77" customWidth="1"/>
    <col min="3847" max="4096" width="8.7109375" style="77"/>
    <col min="4097" max="4097" width="92.5703125" style="77" customWidth="1"/>
    <col min="4098" max="4098" width="8.7109375" style="77"/>
    <col min="4099" max="4099" width="13" style="77" customWidth="1"/>
    <col min="4100" max="4100" width="14.140625" style="77" customWidth="1"/>
    <col min="4101" max="4101" width="15.5703125" style="77" customWidth="1"/>
    <col min="4102" max="4102" width="13.140625" style="77" customWidth="1"/>
    <col min="4103" max="4352" width="8.7109375" style="77"/>
    <col min="4353" max="4353" width="92.5703125" style="77" customWidth="1"/>
    <col min="4354" max="4354" width="8.7109375" style="77"/>
    <col min="4355" max="4355" width="13" style="77" customWidth="1"/>
    <col min="4356" max="4356" width="14.140625" style="77" customWidth="1"/>
    <col min="4357" max="4357" width="15.5703125" style="77" customWidth="1"/>
    <col min="4358" max="4358" width="13.140625" style="77" customWidth="1"/>
    <col min="4359" max="4608" width="8.7109375" style="77"/>
    <col min="4609" max="4609" width="92.5703125" style="77" customWidth="1"/>
    <col min="4610" max="4610" width="8.7109375" style="77"/>
    <col min="4611" max="4611" width="13" style="77" customWidth="1"/>
    <col min="4612" max="4612" width="14.140625" style="77" customWidth="1"/>
    <col min="4613" max="4613" width="15.5703125" style="77" customWidth="1"/>
    <col min="4614" max="4614" width="13.140625" style="77" customWidth="1"/>
    <col min="4615" max="4864" width="8.7109375" style="77"/>
    <col min="4865" max="4865" width="92.5703125" style="77" customWidth="1"/>
    <col min="4866" max="4866" width="8.7109375" style="77"/>
    <col min="4867" max="4867" width="13" style="77" customWidth="1"/>
    <col min="4868" max="4868" width="14.140625" style="77" customWidth="1"/>
    <col min="4869" max="4869" width="15.5703125" style="77" customWidth="1"/>
    <col min="4870" max="4870" width="13.140625" style="77" customWidth="1"/>
    <col min="4871" max="5120" width="8.7109375" style="77"/>
    <col min="5121" max="5121" width="92.5703125" style="77" customWidth="1"/>
    <col min="5122" max="5122" width="8.7109375" style="77"/>
    <col min="5123" max="5123" width="13" style="77" customWidth="1"/>
    <col min="5124" max="5124" width="14.140625" style="77" customWidth="1"/>
    <col min="5125" max="5125" width="15.5703125" style="77" customWidth="1"/>
    <col min="5126" max="5126" width="13.140625" style="77" customWidth="1"/>
    <col min="5127" max="5376" width="8.7109375" style="77"/>
    <col min="5377" max="5377" width="92.5703125" style="77" customWidth="1"/>
    <col min="5378" max="5378" width="8.7109375" style="77"/>
    <col min="5379" max="5379" width="13" style="77" customWidth="1"/>
    <col min="5380" max="5380" width="14.140625" style="77" customWidth="1"/>
    <col min="5381" max="5381" width="15.5703125" style="77" customWidth="1"/>
    <col min="5382" max="5382" width="13.140625" style="77" customWidth="1"/>
    <col min="5383" max="5632" width="8.7109375" style="77"/>
    <col min="5633" max="5633" width="92.5703125" style="77" customWidth="1"/>
    <col min="5634" max="5634" width="8.7109375" style="77"/>
    <col min="5635" max="5635" width="13" style="77" customWidth="1"/>
    <col min="5636" max="5636" width="14.140625" style="77" customWidth="1"/>
    <col min="5637" max="5637" width="15.5703125" style="77" customWidth="1"/>
    <col min="5638" max="5638" width="13.140625" style="77" customWidth="1"/>
    <col min="5639" max="5888" width="8.7109375" style="77"/>
    <col min="5889" max="5889" width="92.5703125" style="77" customWidth="1"/>
    <col min="5890" max="5890" width="8.7109375" style="77"/>
    <col min="5891" max="5891" width="13" style="77" customWidth="1"/>
    <col min="5892" max="5892" width="14.140625" style="77" customWidth="1"/>
    <col min="5893" max="5893" width="15.5703125" style="77" customWidth="1"/>
    <col min="5894" max="5894" width="13.140625" style="77" customWidth="1"/>
    <col min="5895" max="6144" width="8.7109375" style="77"/>
    <col min="6145" max="6145" width="92.5703125" style="77" customWidth="1"/>
    <col min="6146" max="6146" width="8.7109375" style="77"/>
    <col min="6147" max="6147" width="13" style="77" customWidth="1"/>
    <col min="6148" max="6148" width="14.140625" style="77" customWidth="1"/>
    <col min="6149" max="6149" width="15.5703125" style="77" customWidth="1"/>
    <col min="6150" max="6150" width="13.140625" style="77" customWidth="1"/>
    <col min="6151" max="6400" width="8.7109375" style="77"/>
    <col min="6401" max="6401" width="92.5703125" style="77" customWidth="1"/>
    <col min="6402" max="6402" width="8.7109375" style="77"/>
    <col min="6403" max="6403" width="13" style="77" customWidth="1"/>
    <col min="6404" max="6404" width="14.140625" style="77" customWidth="1"/>
    <col min="6405" max="6405" width="15.5703125" style="77" customWidth="1"/>
    <col min="6406" max="6406" width="13.140625" style="77" customWidth="1"/>
    <col min="6407" max="6656" width="8.7109375" style="77"/>
    <col min="6657" max="6657" width="92.5703125" style="77" customWidth="1"/>
    <col min="6658" max="6658" width="8.7109375" style="77"/>
    <col min="6659" max="6659" width="13" style="77" customWidth="1"/>
    <col min="6660" max="6660" width="14.140625" style="77" customWidth="1"/>
    <col min="6661" max="6661" width="15.5703125" style="77" customWidth="1"/>
    <col min="6662" max="6662" width="13.140625" style="77" customWidth="1"/>
    <col min="6663" max="6912" width="8.7109375" style="77"/>
    <col min="6913" max="6913" width="92.5703125" style="77" customWidth="1"/>
    <col min="6914" max="6914" width="8.7109375" style="77"/>
    <col min="6915" max="6915" width="13" style="77" customWidth="1"/>
    <col min="6916" max="6916" width="14.140625" style="77" customWidth="1"/>
    <col min="6917" max="6917" width="15.5703125" style="77" customWidth="1"/>
    <col min="6918" max="6918" width="13.140625" style="77" customWidth="1"/>
    <col min="6919" max="7168" width="8.7109375" style="77"/>
    <col min="7169" max="7169" width="92.5703125" style="77" customWidth="1"/>
    <col min="7170" max="7170" width="8.7109375" style="77"/>
    <col min="7171" max="7171" width="13" style="77" customWidth="1"/>
    <col min="7172" max="7172" width="14.140625" style="77" customWidth="1"/>
    <col min="7173" max="7173" width="15.5703125" style="77" customWidth="1"/>
    <col min="7174" max="7174" width="13.140625" style="77" customWidth="1"/>
    <col min="7175" max="7424" width="8.7109375" style="77"/>
    <col min="7425" max="7425" width="92.5703125" style="77" customWidth="1"/>
    <col min="7426" max="7426" width="8.7109375" style="77"/>
    <col min="7427" max="7427" width="13" style="77" customWidth="1"/>
    <col min="7428" max="7428" width="14.140625" style="77" customWidth="1"/>
    <col min="7429" max="7429" width="15.5703125" style="77" customWidth="1"/>
    <col min="7430" max="7430" width="13.140625" style="77" customWidth="1"/>
    <col min="7431" max="7680" width="8.7109375" style="77"/>
    <col min="7681" max="7681" width="92.5703125" style="77" customWidth="1"/>
    <col min="7682" max="7682" width="8.7109375" style="77"/>
    <col min="7683" max="7683" width="13" style="77" customWidth="1"/>
    <col min="7684" max="7684" width="14.140625" style="77" customWidth="1"/>
    <col min="7685" max="7685" width="15.5703125" style="77" customWidth="1"/>
    <col min="7686" max="7686" width="13.140625" style="77" customWidth="1"/>
    <col min="7687" max="7936" width="8.7109375" style="77"/>
    <col min="7937" max="7937" width="92.5703125" style="77" customWidth="1"/>
    <col min="7938" max="7938" width="8.7109375" style="77"/>
    <col min="7939" max="7939" width="13" style="77" customWidth="1"/>
    <col min="7940" max="7940" width="14.140625" style="77" customWidth="1"/>
    <col min="7941" max="7941" width="15.5703125" style="77" customWidth="1"/>
    <col min="7942" max="7942" width="13.140625" style="77" customWidth="1"/>
    <col min="7943" max="8192" width="8.7109375" style="77"/>
    <col min="8193" max="8193" width="92.5703125" style="77" customWidth="1"/>
    <col min="8194" max="8194" width="8.7109375" style="77"/>
    <col min="8195" max="8195" width="13" style="77" customWidth="1"/>
    <col min="8196" max="8196" width="14.140625" style="77" customWidth="1"/>
    <col min="8197" max="8197" width="15.5703125" style="77" customWidth="1"/>
    <col min="8198" max="8198" width="13.140625" style="77" customWidth="1"/>
    <col min="8199" max="8448" width="8.7109375" style="77"/>
    <col min="8449" max="8449" width="92.5703125" style="77" customWidth="1"/>
    <col min="8450" max="8450" width="8.7109375" style="77"/>
    <col min="8451" max="8451" width="13" style="77" customWidth="1"/>
    <col min="8452" max="8452" width="14.140625" style="77" customWidth="1"/>
    <col min="8453" max="8453" width="15.5703125" style="77" customWidth="1"/>
    <col min="8454" max="8454" width="13.140625" style="77" customWidth="1"/>
    <col min="8455" max="8704" width="8.7109375" style="77"/>
    <col min="8705" max="8705" width="92.5703125" style="77" customWidth="1"/>
    <col min="8706" max="8706" width="8.7109375" style="77"/>
    <col min="8707" max="8707" width="13" style="77" customWidth="1"/>
    <col min="8708" max="8708" width="14.140625" style="77" customWidth="1"/>
    <col min="8709" max="8709" width="15.5703125" style="77" customWidth="1"/>
    <col min="8710" max="8710" width="13.140625" style="77" customWidth="1"/>
    <col min="8711" max="8960" width="8.7109375" style="77"/>
    <col min="8961" max="8961" width="92.5703125" style="77" customWidth="1"/>
    <col min="8962" max="8962" width="8.7109375" style="77"/>
    <col min="8963" max="8963" width="13" style="77" customWidth="1"/>
    <col min="8964" max="8964" width="14.140625" style="77" customWidth="1"/>
    <col min="8965" max="8965" width="15.5703125" style="77" customWidth="1"/>
    <col min="8966" max="8966" width="13.140625" style="77" customWidth="1"/>
    <col min="8967" max="9216" width="8.7109375" style="77"/>
    <col min="9217" max="9217" width="92.5703125" style="77" customWidth="1"/>
    <col min="9218" max="9218" width="8.7109375" style="77"/>
    <col min="9219" max="9219" width="13" style="77" customWidth="1"/>
    <col min="9220" max="9220" width="14.140625" style="77" customWidth="1"/>
    <col min="9221" max="9221" width="15.5703125" style="77" customWidth="1"/>
    <col min="9222" max="9222" width="13.140625" style="77" customWidth="1"/>
    <col min="9223" max="9472" width="8.7109375" style="77"/>
    <col min="9473" max="9473" width="92.5703125" style="77" customWidth="1"/>
    <col min="9474" max="9474" width="8.7109375" style="77"/>
    <col min="9475" max="9475" width="13" style="77" customWidth="1"/>
    <col min="9476" max="9476" width="14.140625" style="77" customWidth="1"/>
    <col min="9477" max="9477" width="15.5703125" style="77" customWidth="1"/>
    <col min="9478" max="9478" width="13.140625" style="77" customWidth="1"/>
    <col min="9479" max="9728" width="8.7109375" style="77"/>
    <col min="9729" max="9729" width="92.5703125" style="77" customWidth="1"/>
    <col min="9730" max="9730" width="8.7109375" style="77"/>
    <col min="9731" max="9731" width="13" style="77" customWidth="1"/>
    <col min="9732" max="9732" width="14.140625" style="77" customWidth="1"/>
    <col min="9733" max="9733" width="15.5703125" style="77" customWidth="1"/>
    <col min="9734" max="9734" width="13.140625" style="77" customWidth="1"/>
    <col min="9735" max="9984" width="8.7109375" style="77"/>
    <col min="9985" max="9985" width="92.5703125" style="77" customWidth="1"/>
    <col min="9986" max="9986" width="8.7109375" style="77"/>
    <col min="9987" max="9987" width="13" style="77" customWidth="1"/>
    <col min="9988" max="9988" width="14.140625" style="77" customWidth="1"/>
    <col min="9989" max="9989" width="15.5703125" style="77" customWidth="1"/>
    <col min="9990" max="9990" width="13.140625" style="77" customWidth="1"/>
    <col min="9991" max="10240" width="8.7109375" style="77"/>
    <col min="10241" max="10241" width="92.5703125" style="77" customWidth="1"/>
    <col min="10242" max="10242" width="8.7109375" style="77"/>
    <col min="10243" max="10243" width="13" style="77" customWidth="1"/>
    <col min="10244" max="10244" width="14.140625" style="77" customWidth="1"/>
    <col min="10245" max="10245" width="15.5703125" style="77" customWidth="1"/>
    <col min="10246" max="10246" width="13.140625" style="77" customWidth="1"/>
    <col min="10247" max="10496" width="8.7109375" style="77"/>
    <col min="10497" max="10497" width="92.5703125" style="77" customWidth="1"/>
    <col min="10498" max="10498" width="8.7109375" style="77"/>
    <col min="10499" max="10499" width="13" style="77" customWidth="1"/>
    <col min="10500" max="10500" width="14.140625" style="77" customWidth="1"/>
    <col min="10501" max="10501" width="15.5703125" style="77" customWidth="1"/>
    <col min="10502" max="10502" width="13.140625" style="77" customWidth="1"/>
    <col min="10503" max="10752" width="8.7109375" style="77"/>
    <col min="10753" max="10753" width="92.5703125" style="77" customWidth="1"/>
    <col min="10754" max="10754" width="8.7109375" style="77"/>
    <col min="10755" max="10755" width="13" style="77" customWidth="1"/>
    <col min="10756" max="10756" width="14.140625" style="77" customWidth="1"/>
    <col min="10757" max="10757" width="15.5703125" style="77" customWidth="1"/>
    <col min="10758" max="10758" width="13.140625" style="77" customWidth="1"/>
    <col min="10759" max="11008" width="8.7109375" style="77"/>
    <col min="11009" max="11009" width="92.5703125" style="77" customWidth="1"/>
    <col min="11010" max="11010" width="8.7109375" style="77"/>
    <col min="11011" max="11011" width="13" style="77" customWidth="1"/>
    <col min="11012" max="11012" width="14.140625" style="77" customWidth="1"/>
    <col min="11013" max="11013" width="15.5703125" style="77" customWidth="1"/>
    <col min="11014" max="11014" width="13.140625" style="77" customWidth="1"/>
    <col min="11015" max="11264" width="8.7109375" style="77"/>
    <col min="11265" max="11265" width="92.5703125" style="77" customWidth="1"/>
    <col min="11266" max="11266" width="8.7109375" style="77"/>
    <col min="11267" max="11267" width="13" style="77" customWidth="1"/>
    <col min="11268" max="11268" width="14.140625" style="77" customWidth="1"/>
    <col min="11269" max="11269" width="15.5703125" style="77" customWidth="1"/>
    <col min="11270" max="11270" width="13.140625" style="77" customWidth="1"/>
    <col min="11271" max="11520" width="8.7109375" style="77"/>
    <col min="11521" max="11521" width="92.5703125" style="77" customWidth="1"/>
    <col min="11522" max="11522" width="8.7109375" style="77"/>
    <col min="11523" max="11523" width="13" style="77" customWidth="1"/>
    <col min="11524" max="11524" width="14.140625" style="77" customWidth="1"/>
    <col min="11525" max="11525" width="15.5703125" style="77" customWidth="1"/>
    <col min="11526" max="11526" width="13.140625" style="77" customWidth="1"/>
    <col min="11527" max="11776" width="8.7109375" style="77"/>
    <col min="11777" max="11777" width="92.5703125" style="77" customWidth="1"/>
    <col min="11778" max="11778" width="8.7109375" style="77"/>
    <col min="11779" max="11779" width="13" style="77" customWidth="1"/>
    <col min="11780" max="11780" width="14.140625" style="77" customWidth="1"/>
    <col min="11781" max="11781" width="15.5703125" style="77" customWidth="1"/>
    <col min="11782" max="11782" width="13.140625" style="77" customWidth="1"/>
    <col min="11783" max="12032" width="8.7109375" style="77"/>
    <col min="12033" max="12033" width="92.5703125" style="77" customWidth="1"/>
    <col min="12034" max="12034" width="8.7109375" style="77"/>
    <col min="12035" max="12035" width="13" style="77" customWidth="1"/>
    <col min="12036" max="12036" width="14.140625" style="77" customWidth="1"/>
    <col min="12037" max="12037" width="15.5703125" style="77" customWidth="1"/>
    <col min="12038" max="12038" width="13.140625" style="77" customWidth="1"/>
    <col min="12039" max="12288" width="8.7109375" style="77"/>
    <col min="12289" max="12289" width="92.5703125" style="77" customWidth="1"/>
    <col min="12290" max="12290" width="8.7109375" style="77"/>
    <col min="12291" max="12291" width="13" style="77" customWidth="1"/>
    <col min="12292" max="12292" width="14.140625" style="77" customWidth="1"/>
    <col min="12293" max="12293" width="15.5703125" style="77" customWidth="1"/>
    <col min="12294" max="12294" width="13.140625" style="77" customWidth="1"/>
    <col min="12295" max="12544" width="8.7109375" style="77"/>
    <col min="12545" max="12545" width="92.5703125" style="77" customWidth="1"/>
    <col min="12546" max="12546" width="8.7109375" style="77"/>
    <col min="12547" max="12547" width="13" style="77" customWidth="1"/>
    <col min="12548" max="12548" width="14.140625" style="77" customWidth="1"/>
    <col min="12549" max="12549" width="15.5703125" style="77" customWidth="1"/>
    <col min="12550" max="12550" width="13.140625" style="77" customWidth="1"/>
    <col min="12551" max="12800" width="8.7109375" style="77"/>
    <col min="12801" max="12801" width="92.5703125" style="77" customWidth="1"/>
    <col min="12802" max="12802" width="8.7109375" style="77"/>
    <col min="12803" max="12803" width="13" style="77" customWidth="1"/>
    <col min="12804" max="12804" width="14.140625" style="77" customWidth="1"/>
    <col min="12805" max="12805" width="15.5703125" style="77" customWidth="1"/>
    <col min="12806" max="12806" width="13.140625" style="77" customWidth="1"/>
    <col min="12807" max="13056" width="8.7109375" style="77"/>
    <col min="13057" max="13057" width="92.5703125" style="77" customWidth="1"/>
    <col min="13058" max="13058" width="8.7109375" style="77"/>
    <col min="13059" max="13059" width="13" style="77" customWidth="1"/>
    <col min="13060" max="13060" width="14.140625" style="77" customWidth="1"/>
    <col min="13061" max="13061" width="15.5703125" style="77" customWidth="1"/>
    <col min="13062" max="13062" width="13.140625" style="77" customWidth="1"/>
    <col min="13063" max="13312" width="8.7109375" style="77"/>
    <col min="13313" max="13313" width="92.5703125" style="77" customWidth="1"/>
    <col min="13314" max="13314" width="8.7109375" style="77"/>
    <col min="13315" max="13315" width="13" style="77" customWidth="1"/>
    <col min="13316" max="13316" width="14.140625" style="77" customWidth="1"/>
    <col min="13317" max="13317" width="15.5703125" style="77" customWidth="1"/>
    <col min="13318" max="13318" width="13.140625" style="77" customWidth="1"/>
    <col min="13319" max="13568" width="8.7109375" style="77"/>
    <col min="13569" max="13569" width="92.5703125" style="77" customWidth="1"/>
    <col min="13570" max="13570" width="8.7109375" style="77"/>
    <col min="13571" max="13571" width="13" style="77" customWidth="1"/>
    <col min="13572" max="13572" width="14.140625" style="77" customWidth="1"/>
    <col min="13573" max="13573" width="15.5703125" style="77" customWidth="1"/>
    <col min="13574" max="13574" width="13.140625" style="77" customWidth="1"/>
    <col min="13575" max="13824" width="8.7109375" style="77"/>
    <col min="13825" max="13825" width="92.5703125" style="77" customWidth="1"/>
    <col min="13826" max="13826" width="8.7109375" style="77"/>
    <col min="13827" max="13827" width="13" style="77" customWidth="1"/>
    <col min="13828" max="13828" width="14.140625" style="77" customWidth="1"/>
    <col min="13829" max="13829" width="15.5703125" style="77" customWidth="1"/>
    <col min="13830" max="13830" width="13.140625" style="77" customWidth="1"/>
    <col min="13831" max="14080" width="8.7109375" style="77"/>
    <col min="14081" max="14081" width="92.5703125" style="77" customWidth="1"/>
    <col min="14082" max="14082" width="8.7109375" style="77"/>
    <col min="14083" max="14083" width="13" style="77" customWidth="1"/>
    <col min="14084" max="14084" width="14.140625" style="77" customWidth="1"/>
    <col min="14085" max="14085" width="15.5703125" style="77" customWidth="1"/>
    <col min="14086" max="14086" width="13.140625" style="77" customWidth="1"/>
    <col min="14087" max="14336" width="8.7109375" style="77"/>
    <col min="14337" max="14337" width="92.5703125" style="77" customWidth="1"/>
    <col min="14338" max="14338" width="8.7109375" style="77"/>
    <col min="14339" max="14339" width="13" style="77" customWidth="1"/>
    <col min="14340" max="14340" width="14.140625" style="77" customWidth="1"/>
    <col min="14341" max="14341" width="15.5703125" style="77" customWidth="1"/>
    <col min="14342" max="14342" width="13.140625" style="77" customWidth="1"/>
    <col min="14343" max="14592" width="8.7109375" style="77"/>
    <col min="14593" max="14593" width="92.5703125" style="77" customWidth="1"/>
    <col min="14594" max="14594" width="8.7109375" style="77"/>
    <col min="14595" max="14595" width="13" style="77" customWidth="1"/>
    <col min="14596" max="14596" width="14.140625" style="77" customWidth="1"/>
    <col min="14597" max="14597" width="15.5703125" style="77" customWidth="1"/>
    <col min="14598" max="14598" width="13.140625" style="77" customWidth="1"/>
    <col min="14599" max="14848" width="8.7109375" style="77"/>
    <col min="14849" max="14849" width="92.5703125" style="77" customWidth="1"/>
    <col min="14850" max="14850" width="8.7109375" style="77"/>
    <col min="14851" max="14851" width="13" style="77" customWidth="1"/>
    <col min="14852" max="14852" width="14.140625" style="77" customWidth="1"/>
    <col min="14853" max="14853" width="15.5703125" style="77" customWidth="1"/>
    <col min="14854" max="14854" width="13.140625" style="77" customWidth="1"/>
    <col min="14855" max="15104" width="8.7109375" style="77"/>
    <col min="15105" max="15105" width="92.5703125" style="77" customWidth="1"/>
    <col min="15106" max="15106" width="8.7109375" style="77"/>
    <col min="15107" max="15107" width="13" style="77" customWidth="1"/>
    <col min="15108" max="15108" width="14.140625" style="77" customWidth="1"/>
    <col min="15109" max="15109" width="15.5703125" style="77" customWidth="1"/>
    <col min="15110" max="15110" width="13.140625" style="77" customWidth="1"/>
    <col min="15111" max="15360" width="8.7109375" style="77"/>
    <col min="15361" max="15361" width="92.5703125" style="77" customWidth="1"/>
    <col min="15362" max="15362" width="8.7109375" style="77"/>
    <col min="15363" max="15363" width="13" style="77" customWidth="1"/>
    <col min="15364" max="15364" width="14.140625" style="77" customWidth="1"/>
    <col min="15365" max="15365" width="15.5703125" style="77" customWidth="1"/>
    <col min="15366" max="15366" width="13.140625" style="77" customWidth="1"/>
    <col min="15367" max="15616" width="8.7109375" style="77"/>
    <col min="15617" max="15617" width="92.5703125" style="77" customWidth="1"/>
    <col min="15618" max="15618" width="8.7109375" style="77"/>
    <col min="15619" max="15619" width="13" style="77" customWidth="1"/>
    <col min="15620" max="15620" width="14.140625" style="77" customWidth="1"/>
    <col min="15621" max="15621" width="15.5703125" style="77" customWidth="1"/>
    <col min="15622" max="15622" width="13.140625" style="77" customWidth="1"/>
    <col min="15623" max="15872" width="8.7109375" style="77"/>
    <col min="15873" max="15873" width="92.5703125" style="77" customWidth="1"/>
    <col min="15874" max="15874" width="8.7109375" style="77"/>
    <col min="15875" max="15875" width="13" style="77" customWidth="1"/>
    <col min="15876" max="15876" width="14.140625" style="77" customWidth="1"/>
    <col min="15877" max="15877" width="15.5703125" style="77" customWidth="1"/>
    <col min="15878" max="15878" width="13.140625" style="77" customWidth="1"/>
    <col min="15879" max="16128" width="8.7109375" style="77"/>
    <col min="16129" max="16129" width="92.5703125" style="77" customWidth="1"/>
    <col min="16130" max="16130" width="8.7109375" style="77"/>
    <col min="16131" max="16131" width="13" style="77" customWidth="1"/>
    <col min="16132" max="16132" width="14.140625" style="77" customWidth="1"/>
    <col min="16133" max="16133" width="15.5703125" style="77" customWidth="1"/>
    <col min="16134" max="16134" width="13.140625" style="77" customWidth="1"/>
    <col min="16135" max="16384" width="8.7109375" style="77"/>
  </cols>
  <sheetData>
    <row r="1" spans="1:8" x14ac:dyDescent="0.25">
      <c r="A1" s="76" t="s">
        <v>401</v>
      </c>
      <c r="B1" s="679" t="str">
        <f>'Kiadások KÖH'!B1</f>
        <v>melléklet a 4/2021.(III.08.) önkormányzati rendelethez</v>
      </c>
    </row>
    <row r="2" spans="1:8" ht="24" customHeight="1" x14ac:dyDescent="0.25">
      <c r="B2" s="786" t="str">
        <f>'Kiadások KÖH'!B2:F2</f>
        <v>Az önkormányzat 2022.évi költségvetése</v>
      </c>
      <c r="C2" s="787"/>
      <c r="D2" s="787"/>
      <c r="E2" s="787"/>
      <c r="F2" s="788"/>
    </row>
    <row r="3" spans="1:8" ht="24" customHeight="1" x14ac:dyDescent="0.25">
      <c r="B3" s="789" t="s">
        <v>402</v>
      </c>
      <c r="C3" s="787"/>
      <c r="D3" s="787"/>
      <c r="E3" s="787"/>
      <c r="F3" s="788"/>
      <c r="H3" s="121"/>
    </row>
    <row r="4" spans="1:8" ht="18" x14ac:dyDescent="0.25">
      <c r="B4" s="78"/>
    </row>
    <row r="5" spans="1:8" x14ac:dyDescent="0.25">
      <c r="B5" s="79" t="s">
        <v>188</v>
      </c>
    </row>
    <row r="6" spans="1:8" ht="45" x14ac:dyDescent="0.3">
      <c r="B6" s="80" t="s">
        <v>189</v>
      </c>
      <c r="C6" s="81" t="s">
        <v>403</v>
      </c>
      <c r="D6" s="82" t="s">
        <v>191</v>
      </c>
      <c r="E6" s="82" t="s">
        <v>192</v>
      </c>
      <c r="F6" s="82" t="s">
        <v>193</v>
      </c>
    </row>
    <row r="7" spans="1:8" ht="15" customHeight="1" x14ac:dyDescent="0.25">
      <c r="B7" s="89" t="s">
        <v>404</v>
      </c>
      <c r="C7" s="93" t="s">
        <v>405</v>
      </c>
      <c r="D7" s="122"/>
      <c r="E7" s="122"/>
      <c r="F7" s="86">
        <f t="shared" ref="F7:F38" si="0">SUM(D7:E7)</f>
        <v>0</v>
      </c>
    </row>
    <row r="8" spans="1:8" ht="15" customHeight="1" x14ac:dyDescent="0.25">
      <c r="B8" s="90" t="s">
        <v>406</v>
      </c>
      <c r="C8" s="93" t="s">
        <v>407</v>
      </c>
      <c r="D8" s="122"/>
      <c r="E8" s="122"/>
      <c r="F8" s="86">
        <f t="shared" si="0"/>
        <v>0</v>
      </c>
    </row>
    <row r="9" spans="1:8" ht="15" customHeight="1" x14ac:dyDescent="0.25">
      <c r="B9" s="90" t="s">
        <v>408</v>
      </c>
      <c r="C9" s="93" t="s">
        <v>409</v>
      </c>
      <c r="D9" s="122"/>
      <c r="E9" s="122"/>
      <c r="F9" s="86">
        <f t="shared" si="0"/>
        <v>0</v>
      </c>
    </row>
    <row r="10" spans="1:8" ht="15" customHeight="1" x14ac:dyDescent="0.25">
      <c r="B10" s="90" t="s">
        <v>410</v>
      </c>
      <c r="C10" s="93" t="s">
        <v>411</v>
      </c>
      <c r="D10" s="122"/>
      <c r="E10" s="122"/>
      <c r="F10" s="86">
        <f t="shared" si="0"/>
        <v>0</v>
      </c>
    </row>
    <row r="11" spans="1:8" ht="15" customHeight="1" x14ac:dyDescent="0.25">
      <c r="B11" s="90" t="s">
        <v>412</v>
      </c>
      <c r="C11" s="93" t="s">
        <v>413</v>
      </c>
      <c r="D11" s="122"/>
      <c r="E11" s="122"/>
      <c r="F11" s="86">
        <f t="shared" si="0"/>
        <v>0</v>
      </c>
    </row>
    <row r="12" spans="1:8" ht="15" customHeight="1" x14ac:dyDescent="0.25">
      <c r="B12" s="90" t="s">
        <v>414</v>
      </c>
      <c r="C12" s="93" t="s">
        <v>415</v>
      </c>
      <c r="D12" s="122"/>
      <c r="E12" s="122"/>
      <c r="F12" s="86">
        <f t="shared" si="0"/>
        <v>0</v>
      </c>
    </row>
    <row r="13" spans="1:8" ht="15" customHeight="1" x14ac:dyDescent="0.25">
      <c r="B13" s="94" t="s">
        <v>416</v>
      </c>
      <c r="C13" s="123" t="s">
        <v>417</v>
      </c>
      <c r="D13" s="124">
        <v>0</v>
      </c>
      <c r="E13" s="122"/>
      <c r="F13" s="86">
        <f t="shared" si="0"/>
        <v>0</v>
      </c>
    </row>
    <row r="14" spans="1:8" ht="15" customHeight="1" x14ac:dyDescent="0.25">
      <c r="B14" s="90" t="s">
        <v>418</v>
      </c>
      <c r="C14" s="93" t="s">
        <v>419</v>
      </c>
      <c r="D14" s="122"/>
      <c r="E14" s="122"/>
      <c r="F14" s="86">
        <f t="shared" si="0"/>
        <v>0</v>
      </c>
    </row>
    <row r="15" spans="1:8" ht="29.1" customHeight="1" x14ac:dyDescent="0.25">
      <c r="B15" s="90" t="s">
        <v>420</v>
      </c>
      <c r="C15" s="93" t="s">
        <v>421</v>
      </c>
      <c r="D15" s="122"/>
      <c r="E15" s="122"/>
      <c r="F15" s="86">
        <f t="shared" si="0"/>
        <v>0</v>
      </c>
    </row>
    <row r="16" spans="1:8" ht="30.6" customHeight="1" x14ac:dyDescent="0.25">
      <c r="B16" s="90" t="s">
        <v>422</v>
      </c>
      <c r="C16" s="93" t="s">
        <v>423</v>
      </c>
      <c r="D16" s="122"/>
      <c r="E16" s="122"/>
      <c r="F16" s="86">
        <f t="shared" si="0"/>
        <v>0</v>
      </c>
    </row>
    <row r="17" spans="2:6" ht="27" customHeight="1" x14ac:dyDescent="0.25">
      <c r="B17" s="90" t="s">
        <v>424</v>
      </c>
      <c r="C17" s="93" t="s">
        <v>425</v>
      </c>
      <c r="D17" s="122"/>
      <c r="E17" s="122"/>
      <c r="F17" s="86">
        <f t="shared" si="0"/>
        <v>0</v>
      </c>
    </row>
    <row r="18" spans="2:6" ht="21.95" customHeight="1" x14ac:dyDescent="0.25">
      <c r="B18" s="90" t="s">
        <v>426</v>
      </c>
      <c r="C18" s="93" t="s">
        <v>427</v>
      </c>
      <c r="D18" s="84">
        <v>0</v>
      </c>
      <c r="E18" s="122"/>
      <c r="F18" s="86">
        <f t="shared" si="0"/>
        <v>0</v>
      </c>
    </row>
    <row r="19" spans="2:6" ht="15" customHeight="1" x14ac:dyDescent="0.25">
      <c r="B19" s="97" t="s">
        <v>428</v>
      </c>
      <c r="C19" s="106" t="s">
        <v>429</v>
      </c>
      <c r="D19" s="86">
        <f>D13+D14+D15+D16+D17+D18</f>
        <v>0</v>
      </c>
      <c r="E19" s="122"/>
      <c r="F19" s="86">
        <f t="shared" si="0"/>
        <v>0</v>
      </c>
    </row>
    <row r="20" spans="2:6" ht="15" customHeight="1" x14ac:dyDescent="0.25">
      <c r="B20" s="90" t="s">
        <v>430</v>
      </c>
      <c r="C20" s="93" t="s">
        <v>431</v>
      </c>
      <c r="D20" s="122"/>
      <c r="E20" s="122"/>
      <c r="F20" s="86">
        <f t="shared" si="0"/>
        <v>0</v>
      </c>
    </row>
    <row r="21" spans="2:6" ht="15" customHeight="1" x14ac:dyDescent="0.25">
      <c r="B21" s="90" t="s">
        <v>432</v>
      </c>
      <c r="C21" s="93" t="s">
        <v>433</v>
      </c>
      <c r="D21" s="122"/>
      <c r="E21" s="122"/>
      <c r="F21" s="86">
        <f t="shared" si="0"/>
        <v>0</v>
      </c>
    </row>
    <row r="22" spans="2:6" ht="15" customHeight="1" x14ac:dyDescent="0.25">
      <c r="B22" s="94" t="s">
        <v>434</v>
      </c>
      <c r="C22" s="123" t="s">
        <v>435</v>
      </c>
      <c r="D22" s="122"/>
      <c r="E22" s="122"/>
      <c r="F22" s="86">
        <f t="shared" si="0"/>
        <v>0</v>
      </c>
    </row>
    <row r="23" spans="2:6" ht="15" customHeight="1" x14ac:dyDescent="0.25">
      <c r="B23" s="90" t="s">
        <v>436</v>
      </c>
      <c r="C23" s="93" t="s">
        <v>437</v>
      </c>
      <c r="D23" s="122"/>
      <c r="E23" s="122"/>
      <c r="F23" s="86">
        <f t="shared" si="0"/>
        <v>0</v>
      </c>
    </row>
    <row r="24" spans="2:6" ht="15" customHeight="1" x14ac:dyDescent="0.25">
      <c r="B24" s="90" t="s">
        <v>438</v>
      </c>
      <c r="C24" s="93" t="s">
        <v>439</v>
      </c>
      <c r="D24" s="122"/>
      <c r="E24" s="122"/>
      <c r="F24" s="86">
        <f t="shared" si="0"/>
        <v>0</v>
      </c>
    </row>
    <row r="25" spans="2:6" ht="15" customHeight="1" x14ac:dyDescent="0.25">
      <c r="B25" s="90" t="s">
        <v>440</v>
      </c>
      <c r="C25" s="93" t="s">
        <v>441</v>
      </c>
      <c r="D25" s="122"/>
      <c r="E25" s="122"/>
      <c r="F25" s="86">
        <f t="shared" si="0"/>
        <v>0</v>
      </c>
    </row>
    <row r="26" spans="2:6" ht="15" customHeight="1" x14ac:dyDescent="0.25">
      <c r="B26" s="90" t="s">
        <v>442</v>
      </c>
      <c r="C26" s="93" t="s">
        <v>443</v>
      </c>
      <c r="D26" s="122"/>
      <c r="E26" s="122"/>
      <c r="F26" s="86">
        <f t="shared" si="0"/>
        <v>0</v>
      </c>
    </row>
    <row r="27" spans="2:6" ht="15" customHeight="1" x14ac:dyDescent="0.25">
      <c r="B27" s="90" t="s">
        <v>444</v>
      </c>
      <c r="C27" s="93" t="s">
        <v>445</v>
      </c>
      <c r="D27" s="122"/>
      <c r="E27" s="122"/>
      <c r="F27" s="86">
        <f t="shared" si="0"/>
        <v>0</v>
      </c>
    </row>
    <row r="28" spans="2:6" ht="15" customHeight="1" x14ac:dyDescent="0.25">
      <c r="B28" s="90" t="s">
        <v>446</v>
      </c>
      <c r="C28" s="93" t="s">
        <v>447</v>
      </c>
      <c r="D28" s="122"/>
      <c r="E28" s="122"/>
      <c r="F28" s="86">
        <f t="shared" si="0"/>
        <v>0</v>
      </c>
    </row>
    <row r="29" spans="2:6" ht="15" customHeight="1" x14ac:dyDescent="0.25">
      <c r="B29" s="90" t="s">
        <v>448</v>
      </c>
      <c r="C29" s="93" t="s">
        <v>449</v>
      </c>
      <c r="D29" s="122"/>
      <c r="E29" s="122"/>
      <c r="F29" s="86">
        <f t="shared" si="0"/>
        <v>0</v>
      </c>
    </row>
    <row r="30" spans="2:6" ht="15" customHeight="1" x14ac:dyDescent="0.25">
      <c r="B30" s="90" t="s">
        <v>450</v>
      </c>
      <c r="C30" s="93" t="s">
        <v>451</v>
      </c>
      <c r="D30" s="122"/>
      <c r="E30" s="122"/>
      <c r="F30" s="86">
        <f t="shared" si="0"/>
        <v>0</v>
      </c>
    </row>
    <row r="31" spans="2:6" ht="15" customHeight="1" x14ac:dyDescent="0.25">
      <c r="B31" s="94" t="s">
        <v>452</v>
      </c>
      <c r="C31" s="123" t="s">
        <v>453</v>
      </c>
      <c r="D31" s="122"/>
      <c r="E31" s="122"/>
      <c r="F31" s="86">
        <f t="shared" si="0"/>
        <v>0</v>
      </c>
    </row>
    <row r="32" spans="2:6" ht="15" customHeight="1" x14ac:dyDescent="0.25">
      <c r="B32" s="90" t="s">
        <v>184</v>
      </c>
      <c r="C32" s="93" t="s">
        <v>454</v>
      </c>
      <c r="D32" s="122"/>
      <c r="E32" s="122"/>
      <c r="F32" s="86">
        <f t="shared" si="0"/>
        <v>0</v>
      </c>
    </row>
    <row r="33" spans="2:6" ht="15" customHeight="1" x14ac:dyDescent="0.25">
      <c r="B33" s="97" t="s">
        <v>455</v>
      </c>
      <c r="C33" s="106" t="s">
        <v>456</v>
      </c>
      <c r="D33" s="122"/>
      <c r="E33" s="122"/>
      <c r="F33" s="86">
        <f t="shared" si="0"/>
        <v>0</v>
      </c>
    </row>
    <row r="34" spans="2:6" ht="15" customHeight="1" x14ac:dyDescent="0.25">
      <c r="B34" s="99" t="s">
        <v>457</v>
      </c>
      <c r="C34" s="93" t="s">
        <v>458</v>
      </c>
      <c r="D34" s="122"/>
      <c r="E34" s="122"/>
      <c r="F34" s="86">
        <f t="shared" si="0"/>
        <v>0</v>
      </c>
    </row>
    <row r="35" spans="2:6" ht="15" customHeight="1" x14ac:dyDescent="0.25">
      <c r="B35" s="99" t="s">
        <v>459</v>
      </c>
      <c r="C35" s="93" t="s">
        <v>460</v>
      </c>
      <c r="D35" s="84">
        <f>SUM('KÖH bevétel'!E7)</f>
        <v>50000</v>
      </c>
      <c r="E35" s="122"/>
      <c r="F35" s="86">
        <f t="shared" si="0"/>
        <v>50000</v>
      </c>
    </row>
    <row r="36" spans="2:6" ht="15" customHeight="1" x14ac:dyDescent="0.25">
      <c r="B36" s="99" t="s">
        <v>461</v>
      </c>
      <c r="C36" s="93" t="s">
        <v>462</v>
      </c>
      <c r="D36" s="122"/>
      <c r="E36" s="122"/>
      <c r="F36" s="86">
        <f t="shared" si="0"/>
        <v>0</v>
      </c>
    </row>
    <row r="37" spans="2:6" ht="15" customHeight="1" x14ac:dyDescent="0.25">
      <c r="B37" s="99" t="s">
        <v>463</v>
      </c>
      <c r="C37" s="93" t="s">
        <v>464</v>
      </c>
      <c r="D37" s="122"/>
      <c r="E37" s="122"/>
      <c r="F37" s="86">
        <f t="shared" si="0"/>
        <v>0</v>
      </c>
    </row>
    <row r="38" spans="2:6" ht="15" customHeight="1" x14ac:dyDescent="0.25">
      <c r="B38" s="99" t="s">
        <v>465</v>
      </c>
      <c r="C38" s="93" t="s">
        <v>466</v>
      </c>
      <c r="D38" s="122"/>
      <c r="E38" s="122"/>
      <c r="F38" s="86">
        <f t="shared" si="0"/>
        <v>0</v>
      </c>
    </row>
    <row r="39" spans="2:6" ht="15" customHeight="1" x14ac:dyDescent="0.25">
      <c r="B39" s="99" t="s">
        <v>467</v>
      </c>
      <c r="C39" s="93" t="s">
        <v>468</v>
      </c>
      <c r="D39" s="84"/>
      <c r="E39" s="122"/>
      <c r="F39" s="86">
        <f t="shared" ref="F39:F70" si="1">SUM(D39:E39)</f>
        <v>0</v>
      </c>
    </row>
    <row r="40" spans="2:6" ht="15" customHeight="1" x14ac:dyDescent="0.25">
      <c r="B40" s="99" t="s">
        <v>469</v>
      </c>
      <c r="C40" s="93" t="s">
        <v>470</v>
      </c>
      <c r="D40" s="122"/>
      <c r="E40" s="122"/>
      <c r="F40" s="86">
        <f t="shared" si="1"/>
        <v>0</v>
      </c>
    </row>
    <row r="41" spans="2:6" ht="15" customHeight="1" x14ac:dyDescent="0.25">
      <c r="B41" s="99" t="s">
        <v>51</v>
      </c>
      <c r="C41" s="93" t="s">
        <v>471</v>
      </c>
      <c r="D41" s="122"/>
      <c r="E41" s="122"/>
      <c r="F41" s="86">
        <f t="shared" si="1"/>
        <v>0</v>
      </c>
    </row>
    <row r="42" spans="2:6" ht="15" customHeight="1" x14ac:dyDescent="0.25">
      <c r="B42" s="99" t="s">
        <v>472</v>
      </c>
      <c r="C42" s="93" t="s">
        <v>473</v>
      </c>
      <c r="D42" s="122"/>
      <c r="E42" s="122"/>
      <c r="F42" s="86">
        <f t="shared" si="1"/>
        <v>0</v>
      </c>
    </row>
    <row r="43" spans="2:6" ht="15" customHeight="1" x14ac:dyDescent="0.25">
      <c r="B43" s="99" t="s">
        <v>474</v>
      </c>
      <c r="C43" s="93" t="s">
        <v>475</v>
      </c>
      <c r="D43" s="122"/>
      <c r="E43" s="122"/>
      <c r="F43" s="86">
        <f t="shared" si="1"/>
        <v>0</v>
      </c>
    </row>
    <row r="44" spans="2:6" ht="15" customHeight="1" x14ac:dyDescent="0.25">
      <c r="B44" s="101" t="s">
        <v>476</v>
      </c>
      <c r="C44" s="106" t="s">
        <v>477</v>
      </c>
      <c r="D44" s="86">
        <f>SUM(D34:D43)</f>
        <v>50000</v>
      </c>
      <c r="E44" s="122"/>
      <c r="F44" s="86">
        <f t="shared" si="1"/>
        <v>50000</v>
      </c>
    </row>
    <row r="45" spans="2:6" ht="15" customHeight="1" x14ac:dyDescent="0.25">
      <c r="B45" s="99" t="s">
        <v>478</v>
      </c>
      <c r="C45" s="93" t="s">
        <v>479</v>
      </c>
      <c r="D45" s="122"/>
      <c r="E45" s="122"/>
      <c r="F45" s="86">
        <f t="shared" si="1"/>
        <v>0</v>
      </c>
    </row>
    <row r="46" spans="2:6" ht="15" customHeight="1" x14ac:dyDescent="0.25">
      <c r="B46" s="90" t="s">
        <v>480</v>
      </c>
      <c r="C46" s="93" t="s">
        <v>481</v>
      </c>
      <c r="D46" s="122"/>
      <c r="E46" s="122"/>
      <c r="F46" s="86">
        <f t="shared" si="1"/>
        <v>0</v>
      </c>
    </row>
    <row r="47" spans="2:6" ht="15" customHeight="1" x14ac:dyDescent="0.25">
      <c r="B47" s="99" t="s">
        <v>482</v>
      </c>
      <c r="C47" s="93" t="s">
        <v>483</v>
      </c>
      <c r="D47" s="84"/>
      <c r="E47" s="122"/>
      <c r="F47" s="86">
        <f t="shared" si="1"/>
        <v>0</v>
      </c>
    </row>
    <row r="48" spans="2:6" ht="15" customHeight="1" x14ac:dyDescent="0.25">
      <c r="B48" s="97" t="s">
        <v>484</v>
      </c>
      <c r="C48" s="106" t="s">
        <v>485</v>
      </c>
      <c r="D48" s="86">
        <f>SUM(D45:D47)</f>
        <v>0</v>
      </c>
      <c r="E48" s="122"/>
      <c r="F48" s="86">
        <f t="shared" si="1"/>
        <v>0</v>
      </c>
    </row>
    <row r="49" spans="2:6" ht="15" customHeight="1" x14ac:dyDescent="0.25">
      <c r="B49" s="223" t="s">
        <v>599</v>
      </c>
      <c r="C49" s="125"/>
      <c r="D49" s="86">
        <f>D19+D33+D44+D48</f>
        <v>50000</v>
      </c>
      <c r="E49" s="122"/>
      <c r="F49" s="86">
        <f t="shared" si="1"/>
        <v>50000</v>
      </c>
    </row>
    <row r="50" spans="2:6" ht="15" customHeight="1" x14ac:dyDescent="0.25">
      <c r="B50" s="90" t="s">
        <v>486</v>
      </c>
      <c r="C50" s="93" t="s">
        <v>487</v>
      </c>
      <c r="D50" s="122"/>
      <c r="E50" s="122"/>
      <c r="F50" s="86">
        <f t="shared" si="1"/>
        <v>0</v>
      </c>
    </row>
    <row r="51" spans="2:6" ht="15" customHeight="1" x14ac:dyDescent="0.25">
      <c r="B51" s="90" t="s">
        <v>488</v>
      </c>
      <c r="C51" s="93" t="s">
        <v>489</v>
      </c>
      <c r="D51" s="122"/>
      <c r="E51" s="122"/>
      <c r="F51" s="86">
        <f t="shared" si="1"/>
        <v>0</v>
      </c>
    </row>
    <row r="52" spans="2:6" ht="15" customHeight="1" x14ac:dyDescent="0.25">
      <c r="B52" s="90" t="s">
        <v>490</v>
      </c>
      <c r="C52" s="93" t="s">
        <v>491</v>
      </c>
      <c r="D52" s="122"/>
      <c r="E52" s="122"/>
      <c r="F52" s="86">
        <f t="shared" si="1"/>
        <v>0</v>
      </c>
    </row>
    <row r="53" spans="2:6" ht="15" customHeight="1" x14ac:dyDescent="0.25">
      <c r="B53" s="90" t="s">
        <v>492</v>
      </c>
      <c r="C53" s="93" t="s">
        <v>493</v>
      </c>
      <c r="D53" s="122"/>
      <c r="E53" s="122"/>
      <c r="F53" s="86">
        <f t="shared" si="1"/>
        <v>0</v>
      </c>
    </row>
    <row r="54" spans="2:6" ht="15" customHeight="1" x14ac:dyDescent="0.25">
      <c r="B54" s="90" t="s">
        <v>494</v>
      </c>
      <c r="C54" s="93" t="s">
        <v>495</v>
      </c>
      <c r="D54" s="122"/>
      <c r="E54" s="122"/>
      <c r="F54" s="86">
        <f t="shared" si="1"/>
        <v>0</v>
      </c>
    </row>
    <row r="55" spans="2:6" ht="15" customHeight="1" x14ac:dyDescent="0.25">
      <c r="B55" s="97" t="s">
        <v>496</v>
      </c>
      <c r="C55" s="106" t="s">
        <v>33</v>
      </c>
      <c r="D55" s="122"/>
      <c r="E55" s="122"/>
      <c r="F55" s="86">
        <f t="shared" si="1"/>
        <v>0</v>
      </c>
    </row>
    <row r="56" spans="2:6" ht="15" customHeight="1" x14ac:dyDescent="0.25">
      <c r="B56" s="99" t="s">
        <v>497</v>
      </c>
      <c r="C56" s="93" t="s">
        <v>498</v>
      </c>
      <c r="D56" s="122"/>
      <c r="E56" s="122"/>
      <c r="F56" s="86">
        <f t="shared" si="1"/>
        <v>0</v>
      </c>
    </row>
    <row r="57" spans="2:6" ht="15" customHeight="1" x14ac:dyDescent="0.25">
      <c r="B57" s="99" t="s">
        <v>499</v>
      </c>
      <c r="C57" s="93" t="s">
        <v>500</v>
      </c>
      <c r="D57" s="122"/>
      <c r="E57" s="122"/>
      <c r="F57" s="86">
        <f t="shared" si="1"/>
        <v>0</v>
      </c>
    </row>
    <row r="58" spans="2:6" ht="15" customHeight="1" x14ac:dyDescent="0.25">
      <c r="B58" s="99" t="s">
        <v>501</v>
      </c>
      <c r="C58" s="93" t="s">
        <v>502</v>
      </c>
      <c r="D58" s="122"/>
      <c r="E58" s="122"/>
      <c r="F58" s="86">
        <f t="shared" si="1"/>
        <v>0</v>
      </c>
    </row>
    <row r="59" spans="2:6" ht="15" customHeight="1" x14ac:dyDescent="0.25">
      <c r="B59" s="99" t="s">
        <v>503</v>
      </c>
      <c r="C59" s="93" t="s">
        <v>504</v>
      </c>
      <c r="D59" s="122"/>
      <c r="E59" s="122"/>
      <c r="F59" s="86">
        <f t="shared" si="1"/>
        <v>0</v>
      </c>
    </row>
    <row r="60" spans="2:6" ht="15" customHeight="1" x14ac:dyDescent="0.25">
      <c r="B60" s="99" t="s">
        <v>505</v>
      </c>
      <c r="C60" s="93" t="s">
        <v>506</v>
      </c>
      <c r="D60" s="122"/>
      <c r="E60" s="122"/>
      <c r="F60" s="86">
        <f t="shared" si="1"/>
        <v>0</v>
      </c>
    </row>
    <row r="61" spans="2:6" ht="15" customHeight="1" x14ac:dyDescent="0.25">
      <c r="B61" s="97" t="s">
        <v>507</v>
      </c>
      <c r="C61" s="106" t="s">
        <v>508</v>
      </c>
      <c r="D61" s="122"/>
      <c r="E61" s="122"/>
      <c r="F61" s="86">
        <f t="shared" si="1"/>
        <v>0</v>
      </c>
    </row>
    <row r="62" spans="2:6" ht="15" customHeight="1" x14ac:dyDescent="0.25">
      <c r="B62" s="99" t="s">
        <v>509</v>
      </c>
      <c r="C62" s="93" t="s">
        <v>510</v>
      </c>
      <c r="D62" s="122"/>
      <c r="E62" s="122"/>
      <c r="F62" s="86">
        <f t="shared" si="1"/>
        <v>0</v>
      </c>
    </row>
    <row r="63" spans="2:6" ht="15" customHeight="1" x14ac:dyDescent="0.25">
      <c r="B63" s="90" t="s">
        <v>511</v>
      </c>
      <c r="C63" s="93" t="s">
        <v>512</v>
      </c>
      <c r="D63" s="122"/>
      <c r="E63" s="122"/>
      <c r="F63" s="86">
        <f t="shared" si="1"/>
        <v>0</v>
      </c>
    </row>
    <row r="64" spans="2:6" ht="15" customHeight="1" x14ac:dyDescent="0.25">
      <c r="B64" s="99" t="s">
        <v>513</v>
      </c>
      <c r="C64" s="93" t="s">
        <v>514</v>
      </c>
      <c r="D64" s="122"/>
      <c r="E64" s="122"/>
      <c r="F64" s="86">
        <f t="shared" si="1"/>
        <v>0</v>
      </c>
    </row>
    <row r="65" spans="2:6" ht="15" customHeight="1" x14ac:dyDescent="0.25">
      <c r="B65" s="97" t="s">
        <v>515</v>
      </c>
      <c r="C65" s="106" t="s">
        <v>516</v>
      </c>
      <c r="D65" s="122"/>
      <c r="E65" s="122"/>
      <c r="F65" s="86">
        <f t="shared" si="1"/>
        <v>0</v>
      </c>
    </row>
    <row r="66" spans="2:6" ht="15" customHeight="1" x14ac:dyDescent="0.25">
      <c r="B66" s="217" t="s">
        <v>600</v>
      </c>
      <c r="C66" s="125"/>
      <c r="D66" s="86">
        <f>D55+D61+D65</f>
        <v>0</v>
      </c>
      <c r="E66" s="122"/>
      <c r="F66" s="86">
        <f t="shared" si="1"/>
        <v>0</v>
      </c>
    </row>
    <row r="67" spans="2:6" ht="15.75" x14ac:dyDescent="0.25">
      <c r="B67" s="126" t="s">
        <v>517</v>
      </c>
      <c r="C67" s="107" t="s">
        <v>518</v>
      </c>
      <c r="D67" s="86">
        <f>D19+D33+D44+D48+D55+D61+D65</f>
        <v>50000</v>
      </c>
      <c r="E67" s="122"/>
      <c r="F67" s="86">
        <f t="shared" si="1"/>
        <v>50000</v>
      </c>
    </row>
    <row r="68" spans="2:6" ht="15.75" x14ac:dyDescent="0.25">
      <c r="B68" s="127" t="s">
        <v>519</v>
      </c>
      <c r="C68" s="127"/>
      <c r="D68" s="84">
        <f>SUM(D49-'Kiadások KÖH'!D75)</f>
        <v>-84714405.599999994</v>
      </c>
      <c r="E68" s="122"/>
      <c r="F68" s="86">
        <f t="shared" si="1"/>
        <v>-84714405.599999994</v>
      </c>
    </row>
    <row r="69" spans="2:6" ht="15.75" x14ac:dyDescent="0.25">
      <c r="B69" s="127" t="s">
        <v>520</v>
      </c>
      <c r="C69" s="127"/>
      <c r="D69" s="84">
        <f>D66-'Kiadások KÖH'!D98</f>
        <v>0</v>
      </c>
      <c r="E69" s="122"/>
      <c r="F69" s="86">
        <f t="shared" si="1"/>
        <v>0</v>
      </c>
    </row>
    <row r="70" spans="2:6" x14ac:dyDescent="0.25">
      <c r="B70" s="112" t="s">
        <v>521</v>
      </c>
      <c r="C70" s="90" t="s">
        <v>522</v>
      </c>
      <c r="D70" s="122"/>
      <c r="E70" s="122"/>
      <c r="F70" s="86">
        <f t="shared" si="1"/>
        <v>0</v>
      </c>
    </row>
    <row r="71" spans="2:6" x14ac:dyDescent="0.25">
      <c r="B71" s="99" t="s">
        <v>523</v>
      </c>
      <c r="C71" s="90" t="s">
        <v>524</v>
      </c>
      <c r="D71" s="122"/>
      <c r="E71" s="122"/>
      <c r="F71" s="86">
        <f t="shared" ref="F71:F97" si="2">SUM(D71:E71)</f>
        <v>0</v>
      </c>
    </row>
    <row r="72" spans="2:6" x14ac:dyDescent="0.25">
      <c r="B72" s="112" t="s">
        <v>525</v>
      </c>
      <c r="C72" s="90" t="s">
        <v>526</v>
      </c>
      <c r="D72" s="122"/>
      <c r="E72" s="122"/>
      <c r="F72" s="86">
        <f t="shared" si="2"/>
        <v>0</v>
      </c>
    </row>
    <row r="73" spans="2:6" x14ac:dyDescent="0.25">
      <c r="B73" s="110" t="s">
        <v>527</v>
      </c>
      <c r="C73" s="94" t="s">
        <v>528</v>
      </c>
      <c r="D73" s="122"/>
      <c r="E73" s="122"/>
      <c r="F73" s="86">
        <f t="shared" si="2"/>
        <v>0</v>
      </c>
    </row>
    <row r="74" spans="2:6" x14ac:dyDescent="0.25">
      <c r="B74" s="99" t="s">
        <v>529</v>
      </c>
      <c r="C74" s="90" t="s">
        <v>530</v>
      </c>
      <c r="D74" s="122"/>
      <c r="E74" s="122"/>
      <c r="F74" s="86">
        <f t="shared" si="2"/>
        <v>0</v>
      </c>
    </row>
    <row r="75" spans="2:6" x14ac:dyDescent="0.25">
      <c r="B75" s="112" t="s">
        <v>531</v>
      </c>
      <c r="C75" s="90" t="s">
        <v>532</v>
      </c>
      <c r="D75" s="122"/>
      <c r="E75" s="122"/>
      <c r="F75" s="86">
        <f t="shared" si="2"/>
        <v>0</v>
      </c>
    </row>
    <row r="76" spans="2:6" x14ac:dyDescent="0.25">
      <c r="B76" s="99" t="s">
        <v>533</v>
      </c>
      <c r="C76" s="90" t="s">
        <v>534</v>
      </c>
      <c r="D76" s="122"/>
      <c r="E76" s="122"/>
      <c r="F76" s="86">
        <f t="shared" si="2"/>
        <v>0</v>
      </c>
    </row>
    <row r="77" spans="2:6" x14ac:dyDescent="0.25">
      <c r="B77" s="112" t="s">
        <v>535</v>
      </c>
      <c r="C77" s="90" t="s">
        <v>536</v>
      </c>
      <c r="D77" s="122"/>
      <c r="E77" s="122"/>
      <c r="F77" s="86">
        <f t="shared" si="2"/>
        <v>0</v>
      </c>
    </row>
    <row r="78" spans="2:6" x14ac:dyDescent="0.25">
      <c r="B78" s="114" t="s">
        <v>537</v>
      </c>
      <c r="C78" s="94" t="s">
        <v>538</v>
      </c>
      <c r="D78" s="122"/>
      <c r="E78" s="122"/>
      <c r="F78" s="86">
        <f t="shared" si="2"/>
        <v>0</v>
      </c>
    </row>
    <row r="79" spans="2:6" x14ac:dyDescent="0.25">
      <c r="B79" s="90" t="s">
        <v>539</v>
      </c>
      <c r="C79" s="90" t="s">
        <v>540</v>
      </c>
      <c r="D79" s="84">
        <f>SUM('KÖH bevétel'!E11)</f>
        <v>5239180</v>
      </c>
      <c r="E79" s="122"/>
      <c r="F79" s="86">
        <f t="shared" si="2"/>
        <v>5239180</v>
      </c>
    </row>
    <row r="80" spans="2:6" x14ac:dyDescent="0.25">
      <c r="B80" s="90" t="s">
        <v>541</v>
      </c>
      <c r="C80" s="90" t="s">
        <v>540</v>
      </c>
      <c r="D80" s="122"/>
      <c r="E80" s="122"/>
      <c r="F80" s="86">
        <f t="shared" si="2"/>
        <v>0</v>
      </c>
    </row>
    <row r="81" spans="2:6" x14ac:dyDescent="0.25">
      <c r="B81" s="90" t="s">
        <v>542</v>
      </c>
      <c r="C81" s="90" t="s">
        <v>543</v>
      </c>
      <c r="D81" s="122"/>
      <c r="E81" s="122"/>
      <c r="F81" s="86">
        <f t="shared" si="2"/>
        <v>0</v>
      </c>
    </row>
    <row r="82" spans="2:6" x14ac:dyDescent="0.25">
      <c r="B82" s="90" t="s">
        <v>544</v>
      </c>
      <c r="C82" s="90" t="s">
        <v>543</v>
      </c>
      <c r="D82" s="122"/>
      <c r="E82" s="122"/>
      <c r="F82" s="86">
        <f t="shared" si="2"/>
        <v>0</v>
      </c>
    </row>
    <row r="83" spans="2:6" x14ac:dyDescent="0.25">
      <c r="B83" s="94" t="s">
        <v>545</v>
      </c>
      <c r="C83" s="94" t="s">
        <v>546</v>
      </c>
      <c r="D83" s="86">
        <f>SUM(D79:D82)</f>
        <v>5239180</v>
      </c>
      <c r="E83" s="122"/>
      <c r="F83" s="86">
        <f t="shared" si="2"/>
        <v>5239180</v>
      </c>
    </row>
    <row r="84" spans="2:6" x14ac:dyDescent="0.25">
      <c r="B84" s="112" t="s">
        <v>99</v>
      </c>
      <c r="C84" s="90" t="s">
        <v>547</v>
      </c>
      <c r="D84" s="122"/>
      <c r="E84" s="122"/>
      <c r="F84" s="86">
        <f t="shared" si="2"/>
        <v>0</v>
      </c>
    </row>
    <row r="85" spans="2:6" x14ac:dyDescent="0.25">
      <c r="B85" s="112" t="s">
        <v>548</v>
      </c>
      <c r="C85" s="90" t="s">
        <v>549</v>
      </c>
      <c r="D85" s="122"/>
      <c r="E85" s="122"/>
      <c r="F85" s="86">
        <f t="shared" si="2"/>
        <v>0</v>
      </c>
    </row>
    <row r="86" spans="2:6" x14ac:dyDescent="0.25">
      <c r="B86" s="112" t="s">
        <v>550</v>
      </c>
      <c r="C86" s="90" t="s">
        <v>551</v>
      </c>
      <c r="D86" s="84">
        <f>SUM('KÖH bevétel'!E12)</f>
        <v>79475225.599999994</v>
      </c>
      <c r="E86" s="122"/>
      <c r="F86" s="86">
        <f t="shared" si="2"/>
        <v>79475225.599999994</v>
      </c>
    </row>
    <row r="87" spans="2:6" x14ac:dyDescent="0.25">
      <c r="B87" s="112" t="s">
        <v>552</v>
      </c>
      <c r="C87" s="90" t="s">
        <v>553</v>
      </c>
      <c r="D87" s="122"/>
      <c r="E87" s="122"/>
      <c r="F87" s="86">
        <f t="shared" si="2"/>
        <v>0</v>
      </c>
    </row>
    <row r="88" spans="2:6" x14ac:dyDescent="0.25">
      <c r="B88" s="99" t="s">
        <v>554</v>
      </c>
      <c r="C88" s="90" t="s">
        <v>555</v>
      </c>
      <c r="D88" s="122"/>
      <c r="E88" s="122"/>
      <c r="F88" s="86">
        <f t="shared" si="2"/>
        <v>0</v>
      </c>
    </row>
    <row r="89" spans="2:6" x14ac:dyDescent="0.25">
      <c r="B89" s="110" t="s">
        <v>556</v>
      </c>
      <c r="C89" s="94" t="s">
        <v>557</v>
      </c>
      <c r="D89" s="86">
        <f>D73+D78+D83+D84+D85+D86+D87+D88</f>
        <v>84714405.599999994</v>
      </c>
      <c r="E89" s="122"/>
      <c r="F89" s="86">
        <f t="shared" si="2"/>
        <v>84714405.599999994</v>
      </c>
    </row>
    <row r="90" spans="2:6" x14ac:dyDescent="0.25">
      <c r="B90" s="99" t="s">
        <v>558</v>
      </c>
      <c r="C90" s="90" t="s">
        <v>559</v>
      </c>
      <c r="D90" s="122"/>
      <c r="E90" s="122"/>
      <c r="F90" s="86">
        <f t="shared" si="2"/>
        <v>0</v>
      </c>
    </row>
    <row r="91" spans="2:6" x14ac:dyDescent="0.25">
      <c r="B91" s="99" t="s">
        <v>560</v>
      </c>
      <c r="C91" s="90" t="s">
        <v>561</v>
      </c>
      <c r="D91" s="122"/>
      <c r="E91" s="122"/>
      <c r="F91" s="86">
        <f t="shared" si="2"/>
        <v>0</v>
      </c>
    </row>
    <row r="92" spans="2:6" x14ac:dyDescent="0.25">
      <c r="B92" s="112" t="s">
        <v>562</v>
      </c>
      <c r="C92" s="90" t="s">
        <v>563</v>
      </c>
      <c r="D92" s="122"/>
      <c r="E92" s="122"/>
      <c r="F92" s="86">
        <f t="shared" si="2"/>
        <v>0</v>
      </c>
    </row>
    <row r="93" spans="2:6" x14ac:dyDescent="0.25">
      <c r="B93" s="112" t="s">
        <v>564</v>
      </c>
      <c r="C93" s="90" t="s">
        <v>565</v>
      </c>
      <c r="D93" s="122"/>
      <c r="E93" s="122"/>
      <c r="F93" s="86">
        <f t="shared" si="2"/>
        <v>0</v>
      </c>
    </row>
    <row r="94" spans="2:6" x14ac:dyDescent="0.25">
      <c r="B94" s="114" t="s">
        <v>566</v>
      </c>
      <c r="C94" s="94" t="s">
        <v>567</v>
      </c>
      <c r="D94" s="124">
        <f>SUM(D90:D93)</f>
        <v>0</v>
      </c>
      <c r="E94" s="122"/>
      <c r="F94" s="86">
        <f t="shared" si="2"/>
        <v>0</v>
      </c>
    </row>
    <row r="95" spans="2:6" x14ac:dyDescent="0.25">
      <c r="B95" s="110" t="s">
        <v>568</v>
      </c>
      <c r="C95" s="94" t="s">
        <v>569</v>
      </c>
      <c r="D95" s="122"/>
      <c r="E95" s="122"/>
      <c r="F95" s="86">
        <f t="shared" si="2"/>
        <v>0</v>
      </c>
    </row>
    <row r="96" spans="2:6" ht="15.75" x14ac:dyDescent="0.25">
      <c r="B96" s="117" t="s">
        <v>570</v>
      </c>
      <c r="C96" s="118" t="s">
        <v>571</v>
      </c>
      <c r="D96" s="86">
        <f>D89+D94+D95</f>
        <v>84714405.599999994</v>
      </c>
      <c r="E96" s="122"/>
      <c r="F96" s="86">
        <f t="shared" si="2"/>
        <v>84714405.599999994</v>
      </c>
    </row>
    <row r="97" spans="2:6" ht="15.75" x14ac:dyDescent="0.25">
      <c r="B97" s="119" t="s">
        <v>572</v>
      </c>
      <c r="C97" s="120"/>
      <c r="D97" s="86">
        <f>D67+D96</f>
        <v>84764405.599999994</v>
      </c>
      <c r="E97" s="122"/>
      <c r="F97" s="86">
        <f t="shared" si="2"/>
        <v>84764405.599999994</v>
      </c>
    </row>
    <row r="99" spans="2:6" ht="18.75" x14ac:dyDescent="0.3">
      <c r="B99" s="128"/>
      <c r="D99" s="369">
        <f>SUM('KÖH bevétel'!F20)</f>
        <v>84764405.599999994</v>
      </c>
      <c r="F99" s="88">
        <f>'Kiadások KÖH'!D123-'Bevételek KÖH'!D97</f>
        <v>0</v>
      </c>
    </row>
    <row r="100" spans="2:6" x14ac:dyDescent="0.25">
      <c r="F100" s="88"/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1" sqref="B1"/>
    </sheetView>
  </sheetViews>
  <sheetFormatPr defaultRowHeight="15" x14ac:dyDescent="0.25"/>
  <cols>
    <col min="1" max="1" width="3.28515625" style="77" customWidth="1"/>
    <col min="2" max="2" width="92.5703125" style="77" customWidth="1"/>
    <col min="3" max="3" width="10.85546875" style="77" customWidth="1"/>
    <col min="4" max="4" width="13" style="77" customWidth="1"/>
    <col min="5" max="5" width="9.7109375" style="77" customWidth="1"/>
    <col min="6" max="6" width="15.140625" style="77" customWidth="1"/>
    <col min="7" max="256" width="8.7109375" style="77"/>
    <col min="257" max="257" width="92.5703125" style="77" customWidth="1"/>
    <col min="258" max="258" width="8.7109375" style="77"/>
    <col min="259" max="259" width="13" style="77" customWidth="1"/>
    <col min="260" max="260" width="14.140625" style="77" customWidth="1"/>
    <col min="261" max="261" width="15.85546875" style="77" customWidth="1"/>
    <col min="262" max="262" width="14" style="77" customWidth="1"/>
    <col min="263" max="512" width="8.7109375" style="77"/>
    <col min="513" max="513" width="92.5703125" style="77" customWidth="1"/>
    <col min="514" max="514" width="8.7109375" style="77"/>
    <col min="515" max="515" width="13" style="77" customWidth="1"/>
    <col min="516" max="516" width="14.140625" style="77" customWidth="1"/>
    <col min="517" max="517" width="15.85546875" style="77" customWidth="1"/>
    <col min="518" max="518" width="14" style="77" customWidth="1"/>
    <col min="519" max="768" width="8.7109375" style="77"/>
    <col min="769" max="769" width="92.5703125" style="77" customWidth="1"/>
    <col min="770" max="770" width="8.7109375" style="77"/>
    <col min="771" max="771" width="13" style="77" customWidth="1"/>
    <col min="772" max="772" width="14.140625" style="77" customWidth="1"/>
    <col min="773" max="773" width="15.85546875" style="77" customWidth="1"/>
    <col min="774" max="774" width="14" style="77" customWidth="1"/>
    <col min="775" max="1024" width="8.7109375" style="77"/>
    <col min="1025" max="1025" width="92.5703125" style="77" customWidth="1"/>
    <col min="1026" max="1026" width="8.7109375" style="77"/>
    <col min="1027" max="1027" width="13" style="77" customWidth="1"/>
    <col min="1028" max="1028" width="14.140625" style="77" customWidth="1"/>
    <col min="1029" max="1029" width="15.85546875" style="77" customWidth="1"/>
    <col min="1030" max="1030" width="14" style="77" customWidth="1"/>
    <col min="1031" max="1280" width="8.7109375" style="77"/>
    <col min="1281" max="1281" width="92.5703125" style="77" customWidth="1"/>
    <col min="1282" max="1282" width="8.7109375" style="77"/>
    <col min="1283" max="1283" width="13" style="77" customWidth="1"/>
    <col min="1284" max="1284" width="14.140625" style="77" customWidth="1"/>
    <col min="1285" max="1285" width="15.85546875" style="77" customWidth="1"/>
    <col min="1286" max="1286" width="14" style="77" customWidth="1"/>
    <col min="1287" max="1536" width="8.7109375" style="77"/>
    <col min="1537" max="1537" width="92.5703125" style="77" customWidth="1"/>
    <col min="1538" max="1538" width="8.7109375" style="77"/>
    <col min="1539" max="1539" width="13" style="77" customWidth="1"/>
    <col min="1540" max="1540" width="14.140625" style="77" customWidth="1"/>
    <col min="1541" max="1541" width="15.85546875" style="77" customWidth="1"/>
    <col min="1542" max="1542" width="14" style="77" customWidth="1"/>
    <col min="1543" max="1792" width="8.7109375" style="77"/>
    <col min="1793" max="1793" width="92.5703125" style="77" customWidth="1"/>
    <col min="1794" max="1794" width="8.7109375" style="77"/>
    <col min="1795" max="1795" width="13" style="77" customWidth="1"/>
    <col min="1796" max="1796" width="14.140625" style="77" customWidth="1"/>
    <col min="1797" max="1797" width="15.85546875" style="77" customWidth="1"/>
    <col min="1798" max="1798" width="14" style="77" customWidth="1"/>
    <col min="1799" max="2048" width="8.7109375" style="77"/>
    <col min="2049" max="2049" width="92.5703125" style="77" customWidth="1"/>
    <col min="2050" max="2050" width="8.7109375" style="77"/>
    <col min="2051" max="2051" width="13" style="77" customWidth="1"/>
    <col min="2052" max="2052" width="14.140625" style="77" customWidth="1"/>
    <col min="2053" max="2053" width="15.85546875" style="77" customWidth="1"/>
    <col min="2054" max="2054" width="14" style="77" customWidth="1"/>
    <col min="2055" max="2304" width="8.7109375" style="77"/>
    <col min="2305" max="2305" width="92.5703125" style="77" customWidth="1"/>
    <col min="2306" max="2306" width="8.7109375" style="77"/>
    <col min="2307" max="2307" width="13" style="77" customWidth="1"/>
    <col min="2308" max="2308" width="14.140625" style="77" customWidth="1"/>
    <col min="2309" max="2309" width="15.85546875" style="77" customWidth="1"/>
    <col min="2310" max="2310" width="14" style="77" customWidth="1"/>
    <col min="2311" max="2560" width="8.7109375" style="77"/>
    <col min="2561" max="2561" width="92.5703125" style="77" customWidth="1"/>
    <col min="2562" max="2562" width="8.7109375" style="77"/>
    <col min="2563" max="2563" width="13" style="77" customWidth="1"/>
    <col min="2564" max="2564" width="14.140625" style="77" customWidth="1"/>
    <col min="2565" max="2565" width="15.85546875" style="77" customWidth="1"/>
    <col min="2566" max="2566" width="14" style="77" customWidth="1"/>
    <col min="2567" max="2816" width="8.7109375" style="77"/>
    <col min="2817" max="2817" width="92.5703125" style="77" customWidth="1"/>
    <col min="2818" max="2818" width="8.7109375" style="77"/>
    <col min="2819" max="2819" width="13" style="77" customWidth="1"/>
    <col min="2820" max="2820" width="14.140625" style="77" customWidth="1"/>
    <col min="2821" max="2821" width="15.85546875" style="77" customWidth="1"/>
    <col min="2822" max="2822" width="14" style="77" customWidth="1"/>
    <col min="2823" max="3072" width="8.7109375" style="77"/>
    <col min="3073" max="3073" width="92.5703125" style="77" customWidth="1"/>
    <col min="3074" max="3074" width="8.7109375" style="77"/>
    <col min="3075" max="3075" width="13" style="77" customWidth="1"/>
    <col min="3076" max="3076" width="14.140625" style="77" customWidth="1"/>
    <col min="3077" max="3077" width="15.85546875" style="77" customWidth="1"/>
    <col min="3078" max="3078" width="14" style="77" customWidth="1"/>
    <col min="3079" max="3328" width="8.7109375" style="77"/>
    <col min="3329" max="3329" width="92.5703125" style="77" customWidth="1"/>
    <col min="3330" max="3330" width="8.7109375" style="77"/>
    <col min="3331" max="3331" width="13" style="77" customWidth="1"/>
    <col min="3332" max="3332" width="14.140625" style="77" customWidth="1"/>
    <col min="3333" max="3333" width="15.85546875" style="77" customWidth="1"/>
    <col min="3334" max="3334" width="14" style="77" customWidth="1"/>
    <col min="3335" max="3584" width="8.7109375" style="77"/>
    <col min="3585" max="3585" width="92.5703125" style="77" customWidth="1"/>
    <col min="3586" max="3586" width="8.7109375" style="77"/>
    <col min="3587" max="3587" width="13" style="77" customWidth="1"/>
    <col min="3588" max="3588" width="14.140625" style="77" customWidth="1"/>
    <col min="3589" max="3589" width="15.85546875" style="77" customWidth="1"/>
    <col min="3590" max="3590" width="14" style="77" customWidth="1"/>
    <col min="3591" max="3840" width="8.7109375" style="77"/>
    <col min="3841" max="3841" width="92.5703125" style="77" customWidth="1"/>
    <col min="3842" max="3842" width="8.7109375" style="77"/>
    <col min="3843" max="3843" width="13" style="77" customWidth="1"/>
    <col min="3844" max="3844" width="14.140625" style="77" customWidth="1"/>
    <col min="3845" max="3845" width="15.85546875" style="77" customWidth="1"/>
    <col min="3846" max="3846" width="14" style="77" customWidth="1"/>
    <col min="3847" max="4096" width="8.7109375" style="77"/>
    <col min="4097" max="4097" width="92.5703125" style="77" customWidth="1"/>
    <col min="4098" max="4098" width="8.7109375" style="77"/>
    <col min="4099" max="4099" width="13" style="77" customWidth="1"/>
    <col min="4100" max="4100" width="14.140625" style="77" customWidth="1"/>
    <col min="4101" max="4101" width="15.85546875" style="77" customWidth="1"/>
    <col min="4102" max="4102" width="14" style="77" customWidth="1"/>
    <col min="4103" max="4352" width="8.7109375" style="77"/>
    <col min="4353" max="4353" width="92.5703125" style="77" customWidth="1"/>
    <col min="4354" max="4354" width="8.7109375" style="77"/>
    <col min="4355" max="4355" width="13" style="77" customWidth="1"/>
    <col min="4356" max="4356" width="14.140625" style="77" customWidth="1"/>
    <col min="4357" max="4357" width="15.85546875" style="77" customWidth="1"/>
    <col min="4358" max="4358" width="14" style="77" customWidth="1"/>
    <col min="4359" max="4608" width="8.7109375" style="77"/>
    <col min="4609" max="4609" width="92.5703125" style="77" customWidth="1"/>
    <col min="4610" max="4610" width="8.7109375" style="77"/>
    <col min="4611" max="4611" width="13" style="77" customWidth="1"/>
    <col min="4612" max="4612" width="14.140625" style="77" customWidth="1"/>
    <col min="4613" max="4613" width="15.85546875" style="77" customWidth="1"/>
    <col min="4614" max="4614" width="14" style="77" customWidth="1"/>
    <col min="4615" max="4864" width="8.7109375" style="77"/>
    <col min="4865" max="4865" width="92.5703125" style="77" customWidth="1"/>
    <col min="4866" max="4866" width="8.7109375" style="77"/>
    <col min="4867" max="4867" width="13" style="77" customWidth="1"/>
    <col min="4868" max="4868" width="14.140625" style="77" customWidth="1"/>
    <col min="4869" max="4869" width="15.85546875" style="77" customWidth="1"/>
    <col min="4870" max="4870" width="14" style="77" customWidth="1"/>
    <col min="4871" max="5120" width="8.7109375" style="77"/>
    <col min="5121" max="5121" width="92.5703125" style="77" customWidth="1"/>
    <col min="5122" max="5122" width="8.7109375" style="77"/>
    <col min="5123" max="5123" width="13" style="77" customWidth="1"/>
    <col min="5124" max="5124" width="14.140625" style="77" customWidth="1"/>
    <col min="5125" max="5125" width="15.85546875" style="77" customWidth="1"/>
    <col min="5126" max="5126" width="14" style="77" customWidth="1"/>
    <col min="5127" max="5376" width="8.7109375" style="77"/>
    <col min="5377" max="5377" width="92.5703125" style="77" customWidth="1"/>
    <col min="5378" max="5378" width="8.7109375" style="77"/>
    <col min="5379" max="5379" width="13" style="77" customWidth="1"/>
    <col min="5380" max="5380" width="14.140625" style="77" customWidth="1"/>
    <col min="5381" max="5381" width="15.85546875" style="77" customWidth="1"/>
    <col min="5382" max="5382" width="14" style="77" customWidth="1"/>
    <col min="5383" max="5632" width="8.7109375" style="77"/>
    <col min="5633" max="5633" width="92.5703125" style="77" customWidth="1"/>
    <col min="5634" max="5634" width="8.7109375" style="77"/>
    <col min="5635" max="5635" width="13" style="77" customWidth="1"/>
    <col min="5636" max="5636" width="14.140625" style="77" customWidth="1"/>
    <col min="5637" max="5637" width="15.85546875" style="77" customWidth="1"/>
    <col min="5638" max="5638" width="14" style="77" customWidth="1"/>
    <col min="5639" max="5888" width="8.7109375" style="77"/>
    <col min="5889" max="5889" width="92.5703125" style="77" customWidth="1"/>
    <col min="5890" max="5890" width="8.7109375" style="77"/>
    <col min="5891" max="5891" width="13" style="77" customWidth="1"/>
    <col min="5892" max="5892" width="14.140625" style="77" customWidth="1"/>
    <col min="5893" max="5893" width="15.85546875" style="77" customWidth="1"/>
    <col min="5894" max="5894" width="14" style="77" customWidth="1"/>
    <col min="5895" max="6144" width="8.7109375" style="77"/>
    <col min="6145" max="6145" width="92.5703125" style="77" customWidth="1"/>
    <col min="6146" max="6146" width="8.7109375" style="77"/>
    <col min="6147" max="6147" width="13" style="77" customWidth="1"/>
    <col min="6148" max="6148" width="14.140625" style="77" customWidth="1"/>
    <col min="6149" max="6149" width="15.85546875" style="77" customWidth="1"/>
    <col min="6150" max="6150" width="14" style="77" customWidth="1"/>
    <col min="6151" max="6400" width="8.7109375" style="77"/>
    <col min="6401" max="6401" width="92.5703125" style="77" customWidth="1"/>
    <col min="6402" max="6402" width="8.7109375" style="77"/>
    <col min="6403" max="6403" width="13" style="77" customWidth="1"/>
    <col min="6404" max="6404" width="14.140625" style="77" customWidth="1"/>
    <col min="6405" max="6405" width="15.85546875" style="77" customWidth="1"/>
    <col min="6406" max="6406" width="14" style="77" customWidth="1"/>
    <col min="6407" max="6656" width="8.7109375" style="77"/>
    <col min="6657" max="6657" width="92.5703125" style="77" customWidth="1"/>
    <col min="6658" max="6658" width="8.7109375" style="77"/>
    <col min="6659" max="6659" width="13" style="77" customWidth="1"/>
    <col min="6660" max="6660" width="14.140625" style="77" customWidth="1"/>
    <col min="6661" max="6661" width="15.85546875" style="77" customWidth="1"/>
    <col min="6662" max="6662" width="14" style="77" customWidth="1"/>
    <col min="6663" max="6912" width="8.7109375" style="77"/>
    <col min="6913" max="6913" width="92.5703125" style="77" customWidth="1"/>
    <col min="6914" max="6914" width="8.7109375" style="77"/>
    <col min="6915" max="6915" width="13" style="77" customWidth="1"/>
    <col min="6916" max="6916" width="14.140625" style="77" customWidth="1"/>
    <col min="6917" max="6917" width="15.85546875" style="77" customWidth="1"/>
    <col min="6918" max="6918" width="14" style="77" customWidth="1"/>
    <col min="6919" max="7168" width="8.7109375" style="77"/>
    <col min="7169" max="7169" width="92.5703125" style="77" customWidth="1"/>
    <col min="7170" max="7170" width="8.7109375" style="77"/>
    <col min="7171" max="7171" width="13" style="77" customWidth="1"/>
    <col min="7172" max="7172" width="14.140625" style="77" customWidth="1"/>
    <col min="7173" max="7173" width="15.85546875" style="77" customWidth="1"/>
    <col min="7174" max="7174" width="14" style="77" customWidth="1"/>
    <col min="7175" max="7424" width="8.7109375" style="77"/>
    <col min="7425" max="7425" width="92.5703125" style="77" customWidth="1"/>
    <col min="7426" max="7426" width="8.7109375" style="77"/>
    <col min="7427" max="7427" width="13" style="77" customWidth="1"/>
    <col min="7428" max="7428" width="14.140625" style="77" customWidth="1"/>
    <col min="7429" max="7429" width="15.85546875" style="77" customWidth="1"/>
    <col min="7430" max="7430" width="14" style="77" customWidth="1"/>
    <col min="7431" max="7680" width="8.7109375" style="77"/>
    <col min="7681" max="7681" width="92.5703125" style="77" customWidth="1"/>
    <col min="7682" max="7682" width="8.7109375" style="77"/>
    <col min="7683" max="7683" width="13" style="77" customWidth="1"/>
    <col min="7684" max="7684" width="14.140625" style="77" customWidth="1"/>
    <col min="7685" max="7685" width="15.85546875" style="77" customWidth="1"/>
    <col min="7686" max="7686" width="14" style="77" customWidth="1"/>
    <col min="7687" max="7936" width="8.7109375" style="77"/>
    <col min="7937" max="7937" width="92.5703125" style="77" customWidth="1"/>
    <col min="7938" max="7938" width="8.7109375" style="77"/>
    <col min="7939" max="7939" width="13" style="77" customWidth="1"/>
    <col min="7940" max="7940" width="14.140625" style="77" customWidth="1"/>
    <col min="7941" max="7941" width="15.85546875" style="77" customWidth="1"/>
    <col min="7942" max="7942" width="14" style="77" customWidth="1"/>
    <col min="7943" max="8192" width="8.7109375" style="77"/>
    <col min="8193" max="8193" width="92.5703125" style="77" customWidth="1"/>
    <col min="8194" max="8194" width="8.7109375" style="77"/>
    <col min="8195" max="8195" width="13" style="77" customWidth="1"/>
    <col min="8196" max="8196" width="14.140625" style="77" customWidth="1"/>
    <col min="8197" max="8197" width="15.85546875" style="77" customWidth="1"/>
    <col min="8198" max="8198" width="14" style="77" customWidth="1"/>
    <col min="8199" max="8448" width="8.7109375" style="77"/>
    <col min="8449" max="8449" width="92.5703125" style="77" customWidth="1"/>
    <col min="8450" max="8450" width="8.7109375" style="77"/>
    <col min="8451" max="8451" width="13" style="77" customWidth="1"/>
    <col min="8452" max="8452" width="14.140625" style="77" customWidth="1"/>
    <col min="8453" max="8453" width="15.85546875" style="77" customWidth="1"/>
    <col min="8454" max="8454" width="14" style="77" customWidth="1"/>
    <col min="8455" max="8704" width="8.7109375" style="77"/>
    <col min="8705" max="8705" width="92.5703125" style="77" customWidth="1"/>
    <col min="8706" max="8706" width="8.7109375" style="77"/>
    <col min="8707" max="8707" width="13" style="77" customWidth="1"/>
    <col min="8708" max="8708" width="14.140625" style="77" customWidth="1"/>
    <col min="8709" max="8709" width="15.85546875" style="77" customWidth="1"/>
    <col min="8710" max="8710" width="14" style="77" customWidth="1"/>
    <col min="8711" max="8960" width="8.7109375" style="77"/>
    <col min="8961" max="8961" width="92.5703125" style="77" customWidth="1"/>
    <col min="8962" max="8962" width="8.7109375" style="77"/>
    <col min="8963" max="8963" width="13" style="77" customWidth="1"/>
    <col min="8964" max="8964" width="14.140625" style="77" customWidth="1"/>
    <col min="8965" max="8965" width="15.85546875" style="77" customWidth="1"/>
    <col min="8966" max="8966" width="14" style="77" customWidth="1"/>
    <col min="8967" max="9216" width="8.7109375" style="77"/>
    <col min="9217" max="9217" width="92.5703125" style="77" customWidth="1"/>
    <col min="9218" max="9218" width="8.7109375" style="77"/>
    <col min="9219" max="9219" width="13" style="77" customWidth="1"/>
    <col min="9220" max="9220" width="14.140625" style="77" customWidth="1"/>
    <col min="9221" max="9221" width="15.85546875" style="77" customWidth="1"/>
    <col min="9222" max="9222" width="14" style="77" customWidth="1"/>
    <col min="9223" max="9472" width="8.7109375" style="77"/>
    <col min="9473" max="9473" width="92.5703125" style="77" customWidth="1"/>
    <col min="9474" max="9474" width="8.7109375" style="77"/>
    <col min="9475" max="9475" width="13" style="77" customWidth="1"/>
    <col min="9476" max="9476" width="14.140625" style="77" customWidth="1"/>
    <col min="9477" max="9477" width="15.85546875" style="77" customWidth="1"/>
    <col min="9478" max="9478" width="14" style="77" customWidth="1"/>
    <col min="9479" max="9728" width="8.7109375" style="77"/>
    <col min="9729" max="9729" width="92.5703125" style="77" customWidth="1"/>
    <col min="9730" max="9730" width="8.7109375" style="77"/>
    <col min="9731" max="9731" width="13" style="77" customWidth="1"/>
    <col min="9732" max="9732" width="14.140625" style="77" customWidth="1"/>
    <col min="9733" max="9733" width="15.85546875" style="77" customWidth="1"/>
    <col min="9734" max="9734" width="14" style="77" customWidth="1"/>
    <col min="9735" max="9984" width="8.7109375" style="77"/>
    <col min="9985" max="9985" width="92.5703125" style="77" customWidth="1"/>
    <col min="9986" max="9986" width="8.7109375" style="77"/>
    <col min="9987" max="9987" width="13" style="77" customWidth="1"/>
    <col min="9988" max="9988" width="14.140625" style="77" customWidth="1"/>
    <col min="9989" max="9989" width="15.85546875" style="77" customWidth="1"/>
    <col min="9990" max="9990" width="14" style="77" customWidth="1"/>
    <col min="9991" max="10240" width="8.7109375" style="77"/>
    <col min="10241" max="10241" width="92.5703125" style="77" customWidth="1"/>
    <col min="10242" max="10242" width="8.7109375" style="77"/>
    <col min="10243" max="10243" width="13" style="77" customWidth="1"/>
    <col min="10244" max="10244" width="14.140625" style="77" customWidth="1"/>
    <col min="10245" max="10245" width="15.85546875" style="77" customWidth="1"/>
    <col min="10246" max="10246" width="14" style="77" customWidth="1"/>
    <col min="10247" max="10496" width="8.7109375" style="77"/>
    <col min="10497" max="10497" width="92.5703125" style="77" customWidth="1"/>
    <col min="10498" max="10498" width="8.7109375" style="77"/>
    <col min="10499" max="10499" width="13" style="77" customWidth="1"/>
    <col min="10500" max="10500" width="14.140625" style="77" customWidth="1"/>
    <col min="10501" max="10501" width="15.85546875" style="77" customWidth="1"/>
    <col min="10502" max="10502" width="14" style="77" customWidth="1"/>
    <col min="10503" max="10752" width="8.7109375" style="77"/>
    <col min="10753" max="10753" width="92.5703125" style="77" customWidth="1"/>
    <col min="10754" max="10754" width="8.7109375" style="77"/>
    <col min="10755" max="10755" width="13" style="77" customWidth="1"/>
    <col min="10756" max="10756" width="14.140625" style="77" customWidth="1"/>
    <col min="10757" max="10757" width="15.85546875" style="77" customWidth="1"/>
    <col min="10758" max="10758" width="14" style="77" customWidth="1"/>
    <col min="10759" max="11008" width="8.7109375" style="77"/>
    <col min="11009" max="11009" width="92.5703125" style="77" customWidth="1"/>
    <col min="11010" max="11010" width="8.7109375" style="77"/>
    <col min="11011" max="11011" width="13" style="77" customWidth="1"/>
    <col min="11012" max="11012" width="14.140625" style="77" customWidth="1"/>
    <col min="11013" max="11013" width="15.85546875" style="77" customWidth="1"/>
    <col min="11014" max="11014" width="14" style="77" customWidth="1"/>
    <col min="11015" max="11264" width="8.7109375" style="77"/>
    <col min="11265" max="11265" width="92.5703125" style="77" customWidth="1"/>
    <col min="11266" max="11266" width="8.7109375" style="77"/>
    <col min="11267" max="11267" width="13" style="77" customWidth="1"/>
    <col min="11268" max="11268" width="14.140625" style="77" customWidth="1"/>
    <col min="11269" max="11269" width="15.85546875" style="77" customWidth="1"/>
    <col min="11270" max="11270" width="14" style="77" customWidth="1"/>
    <col min="11271" max="11520" width="8.7109375" style="77"/>
    <col min="11521" max="11521" width="92.5703125" style="77" customWidth="1"/>
    <col min="11522" max="11522" width="8.7109375" style="77"/>
    <col min="11523" max="11523" width="13" style="77" customWidth="1"/>
    <col min="11524" max="11524" width="14.140625" style="77" customWidth="1"/>
    <col min="11525" max="11525" width="15.85546875" style="77" customWidth="1"/>
    <col min="11526" max="11526" width="14" style="77" customWidth="1"/>
    <col min="11527" max="11776" width="8.7109375" style="77"/>
    <col min="11777" max="11777" width="92.5703125" style="77" customWidth="1"/>
    <col min="11778" max="11778" width="8.7109375" style="77"/>
    <col min="11779" max="11779" width="13" style="77" customWidth="1"/>
    <col min="11780" max="11780" width="14.140625" style="77" customWidth="1"/>
    <col min="11781" max="11781" width="15.85546875" style="77" customWidth="1"/>
    <col min="11782" max="11782" width="14" style="77" customWidth="1"/>
    <col min="11783" max="12032" width="8.7109375" style="77"/>
    <col min="12033" max="12033" width="92.5703125" style="77" customWidth="1"/>
    <col min="12034" max="12034" width="8.7109375" style="77"/>
    <col min="12035" max="12035" width="13" style="77" customWidth="1"/>
    <col min="12036" max="12036" width="14.140625" style="77" customWidth="1"/>
    <col min="12037" max="12037" width="15.85546875" style="77" customWidth="1"/>
    <col min="12038" max="12038" width="14" style="77" customWidth="1"/>
    <col min="12039" max="12288" width="8.7109375" style="77"/>
    <col min="12289" max="12289" width="92.5703125" style="77" customWidth="1"/>
    <col min="12290" max="12290" width="8.7109375" style="77"/>
    <col min="12291" max="12291" width="13" style="77" customWidth="1"/>
    <col min="12292" max="12292" width="14.140625" style="77" customWidth="1"/>
    <col min="12293" max="12293" width="15.85546875" style="77" customWidth="1"/>
    <col min="12294" max="12294" width="14" style="77" customWidth="1"/>
    <col min="12295" max="12544" width="8.7109375" style="77"/>
    <col min="12545" max="12545" width="92.5703125" style="77" customWidth="1"/>
    <col min="12546" max="12546" width="8.7109375" style="77"/>
    <col min="12547" max="12547" width="13" style="77" customWidth="1"/>
    <col min="12548" max="12548" width="14.140625" style="77" customWidth="1"/>
    <col min="12549" max="12549" width="15.85546875" style="77" customWidth="1"/>
    <col min="12550" max="12550" width="14" style="77" customWidth="1"/>
    <col min="12551" max="12800" width="8.7109375" style="77"/>
    <col min="12801" max="12801" width="92.5703125" style="77" customWidth="1"/>
    <col min="12802" max="12802" width="8.7109375" style="77"/>
    <col min="12803" max="12803" width="13" style="77" customWidth="1"/>
    <col min="12804" max="12804" width="14.140625" style="77" customWidth="1"/>
    <col min="12805" max="12805" width="15.85546875" style="77" customWidth="1"/>
    <col min="12806" max="12806" width="14" style="77" customWidth="1"/>
    <col min="12807" max="13056" width="8.7109375" style="77"/>
    <col min="13057" max="13057" width="92.5703125" style="77" customWidth="1"/>
    <col min="13058" max="13058" width="8.7109375" style="77"/>
    <col min="13059" max="13059" width="13" style="77" customWidth="1"/>
    <col min="13060" max="13060" width="14.140625" style="77" customWidth="1"/>
    <col min="13061" max="13061" width="15.85546875" style="77" customWidth="1"/>
    <col min="13062" max="13062" width="14" style="77" customWidth="1"/>
    <col min="13063" max="13312" width="8.7109375" style="77"/>
    <col min="13313" max="13313" width="92.5703125" style="77" customWidth="1"/>
    <col min="13314" max="13314" width="8.7109375" style="77"/>
    <col min="13315" max="13315" width="13" style="77" customWidth="1"/>
    <col min="13316" max="13316" width="14.140625" style="77" customWidth="1"/>
    <col min="13317" max="13317" width="15.85546875" style="77" customWidth="1"/>
    <col min="13318" max="13318" width="14" style="77" customWidth="1"/>
    <col min="13319" max="13568" width="8.7109375" style="77"/>
    <col min="13569" max="13569" width="92.5703125" style="77" customWidth="1"/>
    <col min="13570" max="13570" width="8.7109375" style="77"/>
    <col min="13571" max="13571" width="13" style="77" customWidth="1"/>
    <col min="13572" max="13572" width="14.140625" style="77" customWidth="1"/>
    <col min="13573" max="13573" width="15.85546875" style="77" customWidth="1"/>
    <col min="13574" max="13574" width="14" style="77" customWidth="1"/>
    <col min="13575" max="13824" width="8.7109375" style="77"/>
    <col min="13825" max="13825" width="92.5703125" style="77" customWidth="1"/>
    <col min="13826" max="13826" width="8.7109375" style="77"/>
    <col min="13827" max="13827" width="13" style="77" customWidth="1"/>
    <col min="13828" max="13828" width="14.140625" style="77" customWidth="1"/>
    <col min="13829" max="13829" width="15.85546875" style="77" customWidth="1"/>
    <col min="13830" max="13830" width="14" style="77" customWidth="1"/>
    <col min="13831" max="14080" width="8.7109375" style="77"/>
    <col min="14081" max="14081" width="92.5703125" style="77" customWidth="1"/>
    <col min="14082" max="14082" width="8.7109375" style="77"/>
    <col min="14083" max="14083" width="13" style="77" customWidth="1"/>
    <col min="14084" max="14084" width="14.140625" style="77" customWidth="1"/>
    <col min="14085" max="14085" width="15.85546875" style="77" customWidth="1"/>
    <col min="14086" max="14086" width="14" style="77" customWidth="1"/>
    <col min="14087" max="14336" width="8.7109375" style="77"/>
    <col min="14337" max="14337" width="92.5703125" style="77" customWidth="1"/>
    <col min="14338" max="14338" width="8.7109375" style="77"/>
    <col min="14339" max="14339" width="13" style="77" customWidth="1"/>
    <col min="14340" max="14340" width="14.140625" style="77" customWidth="1"/>
    <col min="14341" max="14341" width="15.85546875" style="77" customWidth="1"/>
    <col min="14342" max="14342" width="14" style="77" customWidth="1"/>
    <col min="14343" max="14592" width="8.7109375" style="77"/>
    <col min="14593" max="14593" width="92.5703125" style="77" customWidth="1"/>
    <col min="14594" max="14594" width="8.7109375" style="77"/>
    <col min="14595" max="14595" width="13" style="77" customWidth="1"/>
    <col min="14596" max="14596" width="14.140625" style="77" customWidth="1"/>
    <col min="14597" max="14597" width="15.85546875" style="77" customWidth="1"/>
    <col min="14598" max="14598" width="14" style="77" customWidth="1"/>
    <col min="14599" max="14848" width="8.7109375" style="77"/>
    <col min="14849" max="14849" width="92.5703125" style="77" customWidth="1"/>
    <col min="14850" max="14850" width="8.7109375" style="77"/>
    <col min="14851" max="14851" width="13" style="77" customWidth="1"/>
    <col min="14852" max="14852" width="14.140625" style="77" customWidth="1"/>
    <col min="14853" max="14853" width="15.85546875" style="77" customWidth="1"/>
    <col min="14854" max="14854" width="14" style="77" customWidth="1"/>
    <col min="14855" max="15104" width="8.7109375" style="77"/>
    <col min="15105" max="15105" width="92.5703125" style="77" customWidth="1"/>
    <col min="15106" max="15106" width="8.7109375" style="77"/>
    <col min="15107" max="15107" width="13" style="77" customWidth="1"/>
    <col min="15108" max="15108" width="14.140625" style="77" customWidth="1"/>
    <col min="15109" max="15109" width="15.85546875" style="77" customWidth="1"/>
    <col min="15110" max="15110" width="14" style="77" customWidth="1"/>
    <col min="15111" max="15360" width="8.7109375" style="77"/>
    <col min="15361" max="15361" width="92.5703125" style="77" customWidth="1"/>
    <col min="15362" max="15362" width="8.7109375" style="77"/>
    <col min="15363" max="15363" width="13" style="77" customWidth="1"/>
    <col min="15364" max="15364" width="14.140625" style="77" customWidth="1"/>
    <col min="15365" max="15365" width="15.85546875" style="77" customWidth="1"/>
    <col min="15366" max="15366" width="14" style="77" customWidth="1"/>
    <col min="15367" max="15616" width="8.7109375" style="77"/>
    <col min="15617" max="15617" width="92.5703125" style="77" customWidth="1"/>
    <col min="15618" max="15618" width="8.7109375" style="77"/>
    <col min="15619" max="15619" width="13" style="77" customWidth="1"/>
    <col min="15620" max="15620" width="14.140625" style="77" customWidth="1"/>
    <col min="15621" max="15621" width="15.85546875" style="77" customWidth="1"/>
    <col min="15622" max="15622" width="14" style="77" customWidth="1"/>
    <col min="15623" max="15872" width="8.7109375" style="77"/>
    <col min="15873" max="15873" width="92.5703125" style="77" customWidth="1"/>
    <col min="15874" max="15874" width="8.7109375" style="77"/>
    <col min="15875" max="15875" width="13" style="77" customWidth="1"/>
    <col min="15876" max="15876" width="14.140625" style="77" customWidth="1"/>
    <col min="15877" max="15877" width="15.85546875" style="77" customWidth="1"/>
    <col min="15878" max="15878" width="14" style="77" customWidth="1"/>
    <col min="15879" max="16128" width="8.7109375" style="77"/>
    <col min="16129" max="16129" width="92.5703125" style="77" customWidth="1"/>
    <col min="16130" max="16130" width="8.7109375" style="77"/>
    <col min="16131" max="16131" width="13" style="77" customWidth="1"/>
    <col min="16132" max="16132" width="14.140625" style="77" customWidth="1"/>
    <col min="16133" max="16133" width="15.85546875" style="77" customWidth="1"/>
    <col min="16134" max="16134" width="14" style="77" customWidth="1"/>
    <col min="16135" max="16384" width="8.7109375" style="77"/>
  </cols>
  <sheetData>
    <row r="1" spans="1:8" x14ac:dyDescent="0.25">
      <c r="A1" s="76" t="s">
        <v>401</v>
      </c>
      <c r="B1" s="679" t="str">
        <f>'Kiadások összesen'!B1</f>
        <v>melléklet a 4/2021.(III.08.) önkormányzati rendelethez</v>
      </c>
    </row>
    <row r="2" spans="1:8" ht="24" customHeight="1" x14ac:dyDescent="0.25">
      <c r="B2" s="786" t="str">
        <f>'Kiemelt EI.'!B2:C2</f>
        <v>Az önkormányzat 2022.évi költségvetése</v>
      </c>
      <c r="C2" s="787"/>
      <c r="D2" s="787"/>
      <c r="E2" s="787"/>
      <c r="F2" s="788"/>
    </row>
    <row r="3" spans="1:8" ht="24" customHeight="1" x14ac:dyDescent="0.25">
      <c r="B3" s="789" t="s">
        <v>402</v>
      </c>
      <c r="C3" s="787"/>
      <c r="D3" s="787"/>
      <c r="E3" s="787"/>
      <c r="F3" s="788"/>
      <c r="H3" s="121"/>
    </row>
    <row r="4" spans="1:8" ht="18" x14ac:dyDescent="0.25">
      <c r="B4" s="78"/>
    </row>
    <row r="5" spans="1:8" x14ac:dyDescent="0.25">
      <c r="B5" s="79" t="s">
        <v>814</v>
      </c>
    </row>
    <row r="6" spans="1:8" ht="45" x14ac:dyDescent="0.3">
      <c r="B6" s="80" t="s">
        <v>189</v>
      </c>
      <c r="C6" s="81" t="s">
        <v>403</v>
      </c>
      <c r="D6" s="82" t="s">
        <v>191</v>
      </c>
      <c r="E6" s="82" t="s">
        <v>192</v>
      </c>
      <c r="F6" s="82" t="s">
        <v>193</v>
      </c>
    </row>
    <row r="7" spans="1:8" ht="15" customHeight="1" x14ac:dyDescent="0.25">
      <c r="B7" s="89" t="s">
        <v>404</v>
      </c>
      <c r="C7" s="93" t="s">
        <v>405</v>
      </c>
      <c r="D7" s="84">
        <f>'Bevételek ÖNK'!D7+'Bevételek KÖH'!D7</f>
        <v>85199700</v>
      </c>
      <c r="E7" s="122"/>
      <c r="F7" s="86">
        <f t="shared" ref="F7:F38" si="0">SUM(D7:E7)</f>
        <v>85199700</v>
      </c>
    </row>
    <row r="8" spans="1:8" ht="15" customHeight="1" x14ac:dyDescent="0.25">
      <c r="B8" s="90" t="s">
        <v>406</v>
      </c>
      <c r="C8" s="93" t="s">
        <v>407</v>
      </c>
      <c r="D8" s="84">
        <f>'Bevételek ÖNK'!D8+'Bevételek KÖH'!D8</f>
        <v>0</v>
      </c>
      <c r="E8" s="122"/>
      <c r="F8" s="86">
        <f t="shared" si="0"/>
        <v>0</v>
      </c>
    </row>
    <row r="9" spans="1:8" ht="15" customHeight="1" x14ac:dyDescent="0.25">
      <c r="B9" s="90" t="s">
        <v>408</v>
      </c>
      <c r="C9" s="93" t="s">
        <v>409</v>
      </c>
      <c r="D9" s="84">
        <f>'Bevételek ÖNK'!D9+'Bevételek KÖH'!D9</f>
        <v>885720</v>
      </c>
      <c r="E9" s="122"/>
      <c r="F9" s="86">
        <f t="shared" si="0"/>
        <v>885720</v>
      </c>
    </row>
    <row r="10" spans="1:8" ht="15" customHeight="1" x14ac:dyDescent="0.25">
      <c r="B10" s="90" t="s">
        <v>410</v>
      </c>
      <c r="C10" s="93" t="s">
        <v>411</v>
      </c>
      <c r="D10" s="84">
        <f>'Bevételek ÖNK'!D10+'Bevételek KÖH'!D10</f>
        <v>3049514</v>
      </c>
      <c r="E10" s="122"/>
      <c r="F10" s="86">
        <f t="shared" si="0"/>
        <v>3049514</v>
      </c>
    </row>
    <row r="11" spans="1:8" ht="15" customHeight="1" x14ac:dyDescent="0.25">
      <c r="B11" s="90" t="s">
        <v>601</v>
      </c>
      <c r="C11" s="93" t="s">
        <v>413</v>
      </c>
      <c r="D11" s="84">
        <f>'Bevételek ÖNK'!D11+'Bevételek KÖH'!D11</f>
        <v>3915653</v>
      </c>
      <c r="E11" s="122"/>
      <c r="F11" s="86">
        <f t="shared" si="0"/>
        <v>3915653</v>
      </c>
    </row>
    <row r="12" spans="1:8" ht="15" customHeight="1" x14ac:dyDescent="0.25">
      <c r="B12" s="90" t="s">
        <v>414</v>
      </c>
      <c r="C12" s="93" t="s">
        <v>415</v>
      </c>
      <c r="D12" s="122">
        <f>'Bevételek ÖNK'!D12+'Bevételek KÖH'!D12</f>
        <v>0</v>
      </c>
      <c r="E12" s="122"/>
      <c r="F12" s="86">
        <f t="shared" si="0"/>
        <v>0</v>
      </c>
    </row>
    <row r="13" spans="1:8" ht="15" customHeight="1" x14ac:dyDescent="0.25">
      <c r="B13" s="94" t="s">
        <v>416</v>
      </c>
      <c r="C13" s="123" t="s">
        <v>417</v>
      </c>
      <c r="D13" s="86">
        <f>'Bevételek ÖNK'!D13++'Bevételek KÖH'!D13</f>
        <v>93050587</v>
      </c>
      <c r="E13" s="122"/>
      <c r="F13" s="86">
        <f t="shared" si="0"/>
        <v>93050587</v>
      </c>
    </row>
    <row r="14" spans="1:8" ht="15" customHeight="1" x14ac:dyDescent="0.25">
      <c r="B14" s="90" t="s">
        <v>418</v>
      </c>
      <c r="C14" s="93" t="s">
        <v>419</v>
      </c>
      <c r="D14" s="122">
        <f>'Bevételek ÖNK'!D14+'Bevételek KÖH'!D14</f>
        <v>0</v>
      </c>
      <c r="E14" s="122"/>
      <c r="F14" s="86">
        <f t="shared" si="0"/>
        <v>0</v>
      </c>
    </row>
    <row r="15" spans="1:8" ht="15" customHeight="1" x14ac:dyDescent="0.25">
      <c r="B15" s="90" t="s">
        <v>420</v>
      </c>
      <c r="C15" s="93" t="s">
        <v>421</v>
      </c>
      <c r="D15" s="122">
        <f>'Bevételek ÖNK'!D15+'Bevételek KÖH'!D15</f>
        <v>0</v>
      </c>
      <c r="E15" s="122"/>
      <c r="F15" s="86">
        <f t="shared" si="0"/>
        <v>0</v>
      </c>
    </row>
    <row r="16" spans="1:8" ht="15" customHeight="1" x14ac:dyDescent="0.25">
      <c r="B16" s="90" t="s">
        <v>422</v>
      </c>
      <c r="C16" s="93" t="s">
        <v>423</v>
      </c>
      <c r="D16" s="84">
        <f>'Bevételek ÖNK'!D16+'Bevételek KÖH'!D16</f>
        <v>0</v>
      </c>
      <c r="E16" s="122"/>
      <c r="F16" s="86">
        <f t="shared" si="0"/>
        <v>0</v>
      </c>
    </row>
    <row r="17" spans="2:6" ht="15" customHeight="1" x14ac:dyDescent="0.25">
      <c r="B17" s="90" t="s">
        <v>424</v>
      </c>
      <c r="C17" s="93" t="s">
        <v>425</v>
      </c>
      <c r="D17" s="122">
        <f>'Bevételek ÖNK'!D17+'Bevételek KÖH'!D17</f>
        <v>0</v>
      </c>
      <c r="E17" s="122"/>
      <c r="F17" s="86">
        <f t="shared" si="0"/>
        <v>0</v>
      </c>
    </row>
    <row r="18" spans="2:6" ht="15" customHeight="1" x14ac:dyDescent="0.25">
      <c r="B18" s="90" t="s">
        <v>426</v>
      </c>
      <c r="C18" s="93" t="s">
        <v>427</v>
      </c>
      <c r="D18" s="84">
        <f>'Bevételek ÖNK'!D18+'Bevételek KÖH'!D18</f>
        <v>66318278.155579343</v>
      </c>
      <c r="E18" s="122"/>
      <c r="F18" s="86">
        <f t="shared" si="0"/>
        <v>66318278.155579343</v>
      </c>
    </row>
    <row r="19" spans="2:6" ht="15" customHeight="1" x14ac:dyDescent="0.25">
      <c r="B19" s="97" t="s">
        <v>428</v>
      </c>
      <c r="C19" s="106" t="s">
        <v>429</v>
      </c>
      <c r="D19" s="86">
        <f>'Bevételek ÖNK'!D19+'Bevételek KÖH'!D19</f>
        <v>159368865.15557933</v>
      </c>
      <c r="E19" s="122"/>
      <c r="F19" s="86">
        <f t="shared" si="0"/>
        <v>159368865.15557933</v>
      </c>
    </row>
    <row r="20" spans="2:6" ht="15" customHeight="1" x14ac:dyDescent="0.25">
      <c r="B20" s="90" t="s">
        <v>430</v>
      </c>
      <c r="C20" s="93" t="s">
        <v>431</v>
      </c>
      <c r="D20" s="122">
        <f>'Bevételek ÖNK'!D20+'Bevételek KÖH'!D20</f>
        <v>0</v>
      </c>
      <c r="E20" s="122"/>
      <c r="F20" s="86">
        <f t="shared" si="0"/>
        <v>0</v>
      </c>
    </row>
    <row r="21" spans="2:6" ht="15" customHeight="1" x14ac:dyDescent="0.25">
      <c r="B21" s="90" t="s">
        <v>432</v>
      </c>
      <c r="C21" s="93" t="s">
        <v>433</v>
      </c>
      <c r="D21" s="122">
        <f>'Bevételek ÖNK'!D21+'Bevételek KÖH'!D21</f>
        <v>0</v>
      </c>
      <c r="E21" s="122"/>
      <c r="F21" s="86">
        <f t="shared" si="0"/>
        <v>0</v>
      </c>
    </row>
    <row r="22" spans="2:6" ht="15" customHeight="1" x14ac:dyDescent="0.25">
      <c r="B22" s="94" t="s">
        <v>434</v>
      </c>
      <c r="C22" s="123" t="s">
        <v>435</v>
      </c>
      <c r="D22" s="124">
        <f>'Bevételek ÖNK'!D22+'Bevételek KÖH'!D22</f>
        <v>0</v>
      </c>
      <c r="E22" s="122"/>
      <c r="F22" s="86">
        <f t="shared" si="0"/>
        <v>0</v>
      </c>
    </row>
    <row r="23" spans="2:6" ht="15" customHeight="1" x14ac:dyDescent="0.25">
      <c r="B23" s="90" t="s">
        <v>436</v>
      </c>
      <c r="C23" s="93" t="s">
        <v>437</v>
      </c>
      <c r="D23" s="122">
        <f>'Bevételek ÖNK'!D23+'Bevételek KÖH'!D23</f>
        <v>0</v>
      </c>
      <c r="E23" s="122"/>
      <c r="F23" s="86">
        <f t="shared" si="0"/>
        <v>0</v>
      </c>
    </row>
    <row r="24" spans="2:6" ht="15" customHeight="1" x14ac:dyDescent="0.25">
      <c r="B24" s="90" t="s">
        <v>438</v>
      </c>
      <c r="C24" s="93" t="s">
        <v>439</v>
      </c>
      <c r="D24" s="122">
        <f>'Bevételek ÖNK'!D24+'Bevételek KÖH'!D24</f>
        <v>0</v>
      </c>
      <c r="E24" s="122"/>
      <c r="F24" s="86">
        <f t="shared" si="0"/>
        <v>0</v>
      </c>
    </row>
    <row r="25" spans="2:6" ht="15" customHeight="1" x14ac:dyDescent="0.25">
      <c r="B25" s="94" t="s">
        <v>440</v>
      </c>
      <c r="C25" s="123" t="s">
        <v>441</v>
      </c>
      <c r="D25" s="86">
        <f>'Bevételek ÖNK'!D25+'Bevételek KÖH'!D25</f>
        <v>14400000</v>
      </c>
      <c r="E25" s="122"/>
      <c r="F25" s="86">
        <f t="shared" si="0"/>
        <v>14400000</v>
      </c>
    </row>
    <row r="26" spans="2:6" ht="15" customHeight="1" x14ac:dyDescent="0.25">
      <c r="B26" s="90" t="s">
        <v>442</v>
      </c>
      <c r="C26" s="93" t="s">
        <v>443</v>
      </c>
      <c r="D26" s="84">
        <f>'Bevételek ÖNK'!D26+'Bevételek KÖH'!D26</f>
        <v>80000000</v>
      </c>
      <c r="E26" s="122"/>
      <c r="F26" s="86">
        <f t="shared" si="0"/>
        <v>80000000</v>
      </c>
    </row>
    <row r="27" spans="2:6" ht="15" customHeight="1" x14ac:dyDescent="0.25">
      <c r="B27" s="90" t="s">
        <v>444</v>
      </c>
      <c r="C27" s="93" t="s">
        <v>445</v>
      </c>
      <c r="D27" s="122">
        <f>'Bevételek ÖNK'!D27+'Bevételek KÖH'!D27</f>
        <v>0</v>
      </c>
      <c r="E27" s="122"/>
      <c r="F27" s="86">
        <f t="shared" si="0"/>
        <v>0</v>
      </c>
    </row>
    <row r="28" spans="2:6" ht="15" customHeight="1" x14ac:dyDescent="0.25">
      <c r="B28" s="90" t="s">
        <v>446</v>
      </c>
      <c r="C28" s="93" t="s">
        <v>447</v>
      </c>
      <c r="D28" s="122">
        <f>'Bevételek ÖNK'!D28+'Bevételek KÖH'!D28</f>
        <v>0</v>
      </c>
      <c r="E28" s="122"/>
      <c r="F28" s="86">
        <f t="shared" si="0"/>
        <v>0</v>
      </c>
    </row>
    <row r="29" spans="2:6" ht="15" customHeight="1" x14ac:dyDescent="0.25">
      <c r="B29" s="90" t="s">
        <v>448</v>
      </c>
      <c r="C29" s="93" t="s">
        <v>449</v>
      </c>
      <c r="D29" s="84">
        <f>'Bevételek ÖNK'!D29+'Bevételek KÖH'!D29</f>
        <v>0</v>
      </c>
      <c r="E29" s="122"/>
      <c r="F29" s="86">
        <f t="shared" si="0"/>
        <v>0</v>
      </c>
    </row>
    <row r="30" spans="2:6" ht="15" customHeight="1" x14ac:dyDescent="0.25">
      <c r="B30" s="90" t="s">
        <v>450</v>
      </c>
      <c r="C30" s="93" t="s">
        <v>451</v>
      </c>
      <c r="D30" s="84">
        <f>'Bevételek ÖNK'!D30+'Bevételek KÖH'!D30</f>
        <v>500000</v>
      </c>
      <c r="E30" s="122"/>
      <c r="F30" s="86">
        <f t="shared" si="0"/>
        <v>500000</v>
      </c>
    </row>
    <row r="31" spans="2:6" ht="15" customHeight="1" x14ac:dyDescent="0.25">
      <c r="B31" s="94" t="s">
        <v>452</v>
      </c>
      <c r="C31" s="123" t="s">
        <v>453</v>
      </c>
      <c r="D31" s="86">
        <f>'Bevételek ÖNK'!D31+'Bevételek KÖH'!D31</f>
        <v>80500000</v>
      </c>
      <c r="E31" s="122"/>
      <c r="F31" s="86">
        <f t="shared" si="0"/>
        <v>80500000</v>
      </c>
    </row>
    <row r="32" spans="2:6" ht="15" customHeight="1" x14ac:dyDescent="0.25">
      <c r="B32" s="90" t="s">
        <v>184</v>
      </c>
      <c r="C32" s="93" t="s">
        <v>454</v>
      </c>
      <c r="D32" s="84">
        <f>'Bevételek ÖNK'!D32+'Bevételek KÖH'!D32</f>
        <v>1400000</v>
      </c>
      <c r="E32" s="122"/>
      <c r="F32" s="86">
        <f t="shared" si="0"/>
        <v>1400000</v>
      </c>
    </row>
    <row r="33" spans="2:6" ht="15" customHeight="1" x14ac:dyDescent="0.25">
      <c r="B33" s="97" t="s">
        <v>455</v>
      </c>
      <c r="C33" s="106" t="s">
        <v>456</v>
      </c>
      <c r="D33" s="86">
        <f>'Bevételek ÖNK'!D33+'Bevételek KÖH'!D33</f>
        <v>96300000</v>
      </c>
      <c r="E33" s="122"/>
      <c r="F33" s="86">
        <f t="shared" si="0"/>
        <v>96300000</v>
      </c>
    </row>
    <row r="34" spans="2:6" ht="15" customHeight="1" x14ac:dyDescent="0.25">
      <c r="B34" s="99" t="s">
        <v>457</v>
      </c>
      <c r="C34" s="93" t="s">
        <v>458</v>
      </c>
      <c r="D34" s="122">
        <f>'Bevételek ÖNK'!D34+'Bevételek KÖH'!D34</f>
        <v>0</v>
      </c>
      <c r="E34" s="122"/>
      <c r="F34" s="86">
        <f t="shared" si="0"/>
        <v>0</v>
      </c>
    </row>
    <row r="35" spans="2:6" ht="15" customHeight="1" x14ac:dyDescent="0.25">
      <c r="B35" s="99" t="s">
        <v>459</v>
      </c>
      <c r="C35" s="93" t="s">
        <v>460</v>
      </c>
      <c r="D35" s="84">
        <f>'Bevételek ÖNK'!D35+'Bevételek KÖH'!D35</f>
        <v>736000</v>
      </c>
      <c r="E35" s="122"/>
      <c r="F35" s="86">
        <f t="shared" si="0"/>
        <v>736000</v>
      </c>
    </row>
    <row r="36" spans="2:6" ht="15" customHeight="1" x14ac:dyDescent="0.25">
      <c r="B36" s="99" t="s">
        <v>461</v>
      </c>
      <c r="C36" s="93" t="s">
        <v>462</v>
      </c>
      <c r="D36" s="84">
        <f>'Bevételek ÖNK'!D36+'Bevételek KÖH'!D36</f>
        <v>3683040</v>
      </c>
      <c r="E36" s="122"/>
      <c r="F36" s="86">
        <f t="shared" si="0"/>
        <v>3683040</v>
      </c>
    </row>
    <row r="37" spans="2:6" ht="15" customHeight="1" x14ac:dyDescent="0.25">
      <c r="B37" s="99" t="s">
        <v>463</v>
      </c>
      <c r="C37" s="93" t="s">
        <v>464</v>
      </c>
      <c r="D37" s="84">
        <f>'Bevételek ÖNK'!D37+'Bevételek KÖH'!D37</f>
        <v>15000000</v>
      </c>
      <c r="E37" s="122"/>
      <c r="F37" s="86">
        <f t="shared" si="0"/>
        <v>15000000</v>
      </c>
    </row>
    <row r="38" spans="2:6" ht="15" customHeight="1" x14ac:dyDescent="0.25">
      <c r="B38" s="99" t="s">
        <v>465</v>
      </c>
      <c r="C38" s="93" t="s">
        <v>466</v>
      </c>
      <c r="D38" s="122">
        <f>'Bevételek ÖNK'!D38+'Bevételek KÖH'!D38</f>
        <v>130000</v>
      </c>
      <c r="E38" s="122"/>
      <c r="F38" s="86">
        <f t="shared" si="0"/>
        <v>130000</v>
      </c>
    </row>
    <row r="39" spans="2:6" ht="15" customHeight="1" x14ac:dyDescent="0.25">
      <c r="B39" s="99" t="s">
        <v>467</v>
      </c>
      <c r="C39" s="93" t="s">
        <v>468</v>
      </c>
      <c r="D39" s="84">
        <f>'Bevételek ÖNK'!D39+'Bevételek KÖH'!D39</f>
        <v>1212000</v>
      </c>
      <c r="E39" s="122"/>
      <c r="F39" s="86">
        <f t="shared" ref="F39:F70" si="1">SUM(D39:E39)</f>
        <v>1212000</v>
      </c>
    </row>
    <row r="40" spans="2:6" ht="15" customHeight="1" x14ac:dyDescent="0.25">
      <c r="B40" s="99" t="s">
        <v>469</v>
      </c>
      <c r="C40" s="93" t="s">
        <v>470</v>
      </c>
      <c r="D40" s="122">
        <f>'Bevételek ÖNK'!D40+'Bevételek KÖH'!D40</f>
        <v>0</v>
      </c>
      <c r="E40" s="122"/>
      <c r="F40" s="86">
        <f t="shared" si="1"/>
        <v>0</v>
      </c>
    </row>
    <row r="41" spans="2:6" ht="15" customHeight="1" x14ac:dyDescent="0.25">
      <c r="B41" s="99" t="s">
        <v>51</v>
      </c>
      <c r="C41" s="93" t="s">
        <v>471</v>
      </c>
      <c r="D41" s="84">
        <f>'Bevételek ÖNK'!D41+'Bevételek KÖH'!D41</f>
        <v>1000</v>
      </c>
      <c r="E41" s="122"/>
      <c r="F41" s="86">
        <f t="shared" si="1"/>
        <v>1000</v>
      </c>
    </row>
    <row r="42" spans="2:6" ht="15" customHeight="1" x14ac:dyDescent="0.25">
      <c r="B42" s="99" t="s">
        <v>472</v>
      </c>
      <c r="C42" s="93" t="s">
        <v>473</v>
      </c>
      <c r="D42" s="122">
        <f>'Bevételek ÖNK'!D42+'Bevételek KÖH'!D42</f>
        <v>0</v>
      </c>
      <c r="E42" s="122"/>
      <c r="F42" s="86">
        <f t="shared" si="1"/>
        <v>0</v>
      </c>
    </row>
    <row r="43" spans="2:6" ht="15" customHeight="1" x14ac:dyDescent="0.25">
      <c r="B43" s="99" t="s">
        <v>474</v>
      </c>
      <c r="C43" s="93" t="s">
        <v>475</v>
      </c>
      <c r="D43" s="84">
        <f>'Bevételek ÖNK'!D43+'Bevételek KÖH'!D43</f>
        <v>5000</v>
      </c>
      <c r="E43" s="122"/>
      <c r="F43" s="86">
        <f t="shared" si="1"/>
        <v>5000</v>
      </c>
    </row>
    <row r="44" spans="2:6" ht="15" customHeight="1" x14ac:dyDescent="0.25">
      <c r="B44" s="101" t="s">
        <v>476</v>
      </c>
      <c r="C44" s="106" t="s">
        <v>477</v>
      </c>
      <c r="D44" s="86">
        <f>'Bevételek ÖNK'!D44+'Bevételek KÖH'!D44</f>
        <v>20767040</v>
      </c>
      <c r="E44" s="122"/>
      <c r="F44" s="86">
        <f t="shared" si="1"/>
        <v>20767040</v>
      </c>
    </row>
    <row r="45" spans="2:6" ht="28.5" customHeight="1" x14ac:dyDescent="0.25">
      <c r="B45" s="99" t="s">
        <v>478</v>
      </c>
      <c r="C45" s="93" t="s">
        <v>479</v>
      </c>
      <c r="D45" s="122">
        <f>'Bevételek ÖNK'!D45+'Bevételek KÖH'!D45</f>
        <v>0</v>
      </c>
      <c r="E45" s="122"/>
      <c r="F45" s="86">
        <f t="shared" si="1"/>
        <v>0</v>
      </c>
    </row>
    <row r="46" spans="2:6" ht="19.5" customHeight="1" x14ac:dyDescent="0.25">
      <c r="B46" s="90" t="s">
        <v>480</v>
      </c>
      <c r="C46" s="93" t="s">
        <v>481</v>
      </c>
      <c r="D46" s="84">
        <f>'Bevételek ÖNK'!D46+'Bevételek KÖH'!D46</f>
        <v>0</v>
      </c>
      <c r="E46" s="122"/>
      <c r="F46" s="86">
        <f t="shared" si="1"/>
        <v>0</v>
      </c>
    </row>
    <row r="47" spans="2:6" ht="19.5" customHeight="1" x14ac:dyDescent="0.25">
      <c r="B47" s="99" t="s">
        <v>482</v>
      </c>
      <c r="C47" s="93" t="s">
        <v>483</v>
      </c>
      <c r="D47" s="84">
        <f>'Bevételek ÖNK'!D47+'Bevételek KÖH'!D47</f>
        <v>0</v>
      </c>
      <c r="E47" s="122"/>
      <c r="F47" s="86">
        <f t="shared" si="1"/>
        <v>0</v>
      </c>
    </row>
    <row r="48" spans="2:6" ht="15" customHeight="1" x14ac:dyDescent="0.25">
      <c r="B48" s="97" t="s">
        <v>484</v>
      </c>
      <c r="C48" s="106" t="s">
        <v>485</v>
      </c>
      <c r="D48" s="86">
        <f>'Bevételek ÖNK'!D48+'Bevételek KÖH'!D48</f>
        <v>0</v>
      </c>
      <c r="E48" s="122"/>
      <c r="F48" s="86">
        <f t="shared" si="1"/>
        <v>0</v>
      </c>
    </row>
    <row r="49" spans="2:6" ht="15" customHeight="1" x14ac:dyDescent="0.25">
      <c r="B49" s="223" t="s">
        <v>599</v>
      </c>
      <c r="C49" s="210"/>
      <c r="D49" s="211">
        <f>'Bevételek ÖNK'!D49++'Bevételek KÖH'!D49</f>
        <v>276435905.15557933</v>
      </c>
      <c r="E49" s="212"/>
      <c r="F49" s="211">
        <f t="shared" si="1"/>
        <v>276435905.15557933</v>
      </c>
    </row>
    <row r="50" spans="2:6" ht="15" customHeight="1" x14ac:dyDescent="0.25">
      <c r="B50" s="90" t="s">
        <v>486</v>
      </c>
      <c r="C50" s="93" t="s">
        <v>487</v>
      </c>
      <c r="D50" s="122">
        <f>'Bevételek ÖNK'!D50+'Bevételek KÖH'!D50</f>
        <v>0</v>
      </c>
      <c r="E50" s="122"/>
      <c r="F50" s="86">
        <f t="shared" si="1"/>
        <v>0</v>
      </c>
    </row>
    <row r="51" spans="2:6" ht="29.25" customHeight="1" x14ac:dyDescent="0.25">
      <c r="B51" s="90" t="s">
        <v>488</v>
      </c>
      <c r="C51" s="93" t="s">
        <v>489</v>
      </c>
      <c r="D51" s="122">
        <f>'Bevételek ÖNK'!D51+'Bevételek KÖH'!D51</f>
        <v>0</v>
      </c>
      <c r="E51" s="122"/>
      <c r="F51" s="86">
        <f t="shared" si="1"/>
        <v>0</v>
      </c>
    </row>
    <row r="52" spans="2:6" ht="28.5" customHeight="1" x14ac:dyDescent="0.25">
      <c r="B52" s="90" t="s">
        <v>490</v>
      </c>
      <c r="C52" s="93" t="s">
        <v>491</v>
      </c>
      <c r="D52" s="122">
        <f>'Bevételek ÖNK'!D52+'Bevételek KÖH'!D52</f>
        <v>0</v>
      </c>
      <c r="E52" s="122"/>
      <c r="F52" s="86">
        <f t="shared" si="1"/>
        <v>0</v>
      </c>
    </row>
    <row r="53" spans="2:6" ht="28.5" customHeight="1" x14ac:dyDescent="0.25">
      <c r="B53" s="90" t="s">
        <v>492</v>
      </c>
      <c r="C53" s="93" t="s">
        <v>493</v>
      </c>
      <c r="D53" s="122">
        <f>'Bevételek ÖNK'!D53+'Bevételek KÖH'!D53</f>
        <v>0</v>
      </c>
      <c r="E53" s="122"/>
      <c r="F53" s="86">
        <f t="shared" si="1"/>
        <v>0</v>
      </c>
    </row>
    <row r="54" spans="2:6" ht="21" customHeight="1" x14ac:dyDescent="0.25">
      <c r="B54" s="90" t="s">
        <v>494</v>
      </c>
      <c r="C54" s="93" t="s">
        <v>495</v>
      </c>
      <c r="D54" s="84">
        <f>'Bevételek ÖNK'!D54+'Bevételek KÖH'!D54</f>
        <v>0</v>
      </c>
      <c r="E54" s="122"/>
      <c r="F54" s="86">
        <f t="shared" si="1"/>
        <v>0</v>
      </c>
    </row>
    <row r="55" spans="2:6" ht="15" customHeight="1" x14ac:dyDescent="0.25">
      <c r="B55" s="97" t="s">
        <v>496</v>
      </c>
      <c r="C55" s="106" t="s">
        <v>33</v>
      </c>
      <c r="D55" s="86">
        <f>'Bevételek ÖNK'!D55+'Bevételek KÖH'!D55</f>
        <v>0</v>
      </c>
      <c r="E55" s="122"/>
      <c r="F55" s="86">
        <f t="shared" si="1"/>
        <v>0</v>
      </c>
    </row>
    <row r="56" spans="2:6" ht="15" customHeight="1" x14ac:dyDescent="0.25">
      <c r="B56" s="99" t="s">
        <v>497</v>
      </c>
      <c r="C56" s="93" t="s">
        <v>498</v>
      </c>
      <c r="D56" s="122">
        <f>'Bevételek ÖNK'!D56+'Bevételek KÖH'!D56</f>
        <v>0</v>
      </c>
      <c r="E56" s="122"/>
      <c r="F56" s="86">
        <f t="shared" si="1"/>
        <v>0</v>
      </c>
    </row>
    <row r="57" spans="2:6" ht="15" customHeight="1" x14ac:dyDescent="0.25">
      <c r="B57" s="99" t="s">
        <v>499</v>
      </c>
      <c r="C57" s="93" t="s">
        <v>500</v>
      </c>
      <c r="D57" s="122">
        <f>'Bevételek ÖNK'!D57+'Bevételek KÖH'!D57</f>
        <v>4488000</v>
      </c>
      <c r="E57" s="122"/>
      <c r="F57" s="86">
        <f t="shared" si="1"/>
        <v>4488000</v>
      </c>
    </row>
    <row r="58" spans="2:6" ht="15" customHeight="1" x14ac:dyDescent="0.25">
      <c r="B58" s="99" t="s">
        <v>501</v>
      </c>
      <c r="C58" s="93" t="s">
        <v>502</v>
      </c>
      <c r="D58" s="122">
        <f>'Bevételek ÖNK'!D58+'Bevételek KÖH'!D58</f>
        <v>0</v>
      </c>
      <c r="E58" s="122"/>
      <c r="F58" s="86">
        <f t="shared" si="1"/>
        <v>0</v>
      </c>
    </row>
    <row r="59" spans="2:6" ht="15" customHeight="1" x14ac:dyDescent="0.25">
      <c r="B59" s="99" t="s">
        <v>503</v>
      </c>
      <c r="C59" s="93" t="s">
        <v>504</v>
      </c>
      <c r="D59" s="122">
        <f>'Bevételek ÖNK'!D59+'Bevételek KÖH'!D59</f>
        <v>0</v>
      </c>
      <c r="E59" s="122"/>
      <c r="F59" s="86">
        <f t="shared" si="1"/>
        <v>0</v>
      </c>
    </row>
    <row r="60" spans="2:6" ht="15" customHeight="1" x14ac:dyDescent="0.25">
      <c r="B60" s="99" t="s">
        <v>505</v>
      </c>
      <c r="C60" s="93" t="s">
        <v>506</v>
      </c>
      <c r="D60" s="122">
        <f>'Bevételek ÖNK'!D60+'Bevételek KÖH'!D60</f>
        <v>0</v>
      </c>
      <c r="E60" s="122"/>
      <c r="F60" s="86">
        <f t="shared" si="1"/>
        <v>0</v>
      </c>
    </row>
    <row r="61" spans="2:6" ht="15" customHeight="1" x14ac:dyDescent="0.25">
      <c r="B61" s="97" t="s">
        <v>507</v>
      </c>
      <c r="C61" s="106" t="s">
        <v>508</v>
      </c>
      <c r="D61" s="124">
        <f>'Bevételek ÖNK'!D61+'Bevételek KÖH'!D61</f>
        <v>4488000</v>
      </c>
      <c r="E61" s="122"/>
      <c r="F61" s="86">
        <f t="shared" si="1"/>
        <v>4488000</v>
      </c>
    </row>
    <row r="62" spans="2:6" ht="15" customHeight="1" x14ac:dyDescent="0.25">
      <c r="B62" s="99" t="s">
        <v>509</v>
      </c>
      <c r="C62" s="93" t="s">
        <v>510</v>
      </c>
      <c r="D62" s="122">
        <f>'Bevételek ÖNK'!D62+'Bevételek KÖH'!D62</f>
        <v>0</v>
      </c>
      <c r="E62" s="122"/>
      <c r="F62" s="86">
        <f t="shared" si="1"/>
        <v>0</v>
      </c>
    </row>
    <row r="63" spans="2:6" ht="22.5" customHeight="1" x14ac:dyDescent="0.25">
      <c r="B63" s="90" t="s">
        <v>511</v>
      </c>
      <c r="C63" s="93" t="s">
        <v>602</v>
      </c>
      <c r="D63" s="84">
        <f>'Bevételek ÖNK'!D63+'Bevételek KÖH'!D63</f>
        <v>500000</v>
      </c>
      <c r="E63" s="122"/>
      <c r="F63" s="86">
        <f t="shared" si="1"/>
        <v>500000</v>
      </c>
    </row>
    <row r="64" spans="2:6" ht="15" customHeight="1" x14ac:dyDescent="0.25">
      <c r="B64" s="99" t="s">
        <v>513</v>
      </c>
      <c r="C64" s="93" t="s">
        <v>603</v>
      </c>
      <c r="D64" s="122">
        <f>'Bevételek ÖNK'!D64+'Bevételek KÖH'!D64</f>
        <v>0</v>
      </c>
      <c r="E64" s="122"/>
      <c r="F64" s="86">
        <f t="shared" si="1"/>
        <v>0</v>
      </c>
    </row>
    <row r="65" spans="2:6" ht="15" customHeight="1" x14ac:dyDescent="0.25">
      <c r="B65" s="97" t="s">
        <v>515</v>
      </c>
      <c r="C65" s="106" t="s">
        <v>516</v>
      </c>
      <c r="D65" s="86">
        <f>'Bevételek ÖNK'!D65+'Bevételek KÖH'!D65</f>
        <v>500000</v>
      </c>
      <c r="E65" s="122"/>
      <c r="F65" s="86">
        <f t="shared" si="1"/>
        <v>500000</v>
      </c>
    </row>
    <row r="66" spans="2:6" ht="15" customHeight="1" x14ac:dyDescent="0.25">
      <c r="B66" s="223" t="s">
        <v>600</v>
      </c>
      <c r="C66" s="210"/>
      <c r="D66" s="211">
        <f>'Bevételek ÖNK'!D66+'Bevételek KÖH'!D66</f>
        <v>4988000</v>
      </c>
      <c r="E66" s="212"/>
      <c r="F66" s="211">
        <f t="shared" si="1"/>
        <v>4988000</v>
      </c>
    </row>
    <row r="67" spans="2:6" ht="15.75" x14ac:dyDescent="0.25">
      <c r="B67" s="224" t="s">
        <v>517</v>
      </c>
      <c r="C67" s="225" t="s">
        <v>518</v>
      </c>
      <c r="D67" s="226">
        <f>'Bevételek ÖNK'!D67+'Bevételek KÖH'!D67</f>
        <v>281423905.15557933</v>
      </c>
      <c r="E67" s="227"/>
      <c r="F67" s="226">
        <f t="shared" si="1"/>
        <v>281423905.15557933</v>
      </c>
    </row>
    <row r="68" spans="2:6" ht="15.75" x14ac:dyDescent="0.25">
      <c r="B68" s="218" t="s">
        <v>519</v>
      </c>
      <c r="C68" s="219"/>
      <c r="D68" s="220"/>
      <c r="E68" s="221"/>
      <c r="F68" s="222">
        <f t="shared" si="1"/>
        <v>0</v>
      </c>
    </row>
    <row r="69" spans="2:6" ht="15.75" x14ac:dyDescent="0.25">
      <c r="B69" s="218" t="s">
        <v>520</v>
      </c>
      <c r="C69" s="219"/>
      <c r="D69" s="220">
        <f>'Bevételek ÖNK'!D69+'Bevételek KÖH'!D69</f>
        <v>-48597964</v>
      </c>
      <c r="E69" s="221"/>
      <c r="F69" s="222">
        <f t="shared" si="1"/>
        <v>-48597964</v>
      </c>
    </row>
    <row r="70" spans="2:6" x14ac:dyDescent="0.25">
      <c r="B70" s="112" t="s">
        <v>521</v>
      </c>
      <c r="C70" s="90" t="s">
        <v>522</v>
      </c>
      <c r="D70" s="122">
        <f>'Bevételek ÖNK'!D70+'Bevételek KÖH'!D70</f>
        <v>0</v>
      </c>
      <c r="E70" s="122"/>
      <c r="F70" s="86">
        <f t="shared" si="1"/>
        <v>0</v>
      </c>
    </row>
    <row r="71" spans="2:6" x14ac:dyDescent="0.25">
      <c r="B71" s="99" t="s">
        <v>523</v>
      </c>
      <c r="C71" s="90" t="s">
        <v>524</v>
      </c>
      <c r="D71" s="122">
        <f>'Bevételek ÖNK'!D71+'Bevételek KÖH'!D71</f>
        <v>0</v>
      </c>
      <c r="E71" s="122"/>
      <c r="F71" s="86">
        <f t="shared" ref="F71:F97" si="2">SUM(D71:E71)</f>
        <v>0</v>
      </c>
    </row>
    <row r="72" spans="2:6" x14ac:dyDescent="0.25">
      <c r="B72" s="112" t="s">
        <v>525</v>
      </c>
      <c r="C72" s="90" t="s">
        <v>526</v>
      </c>
      <c r="D72" s="122">
        <f>'Bevételek ÖNK'!D72+'Bevételek KÖH'!D72</f>
        <v>0</v>
      </c>
      <c r="E72" s="122"/>
      <c r="F72" s="86">
        <f t="shared" si="2"/>
        <v>0</v>
      </c>
    </row>
    <row r="73" spans="2:6" x14ac:dyDescent="0.25">
      <c r="B73" s="110" t="s">
        <v>527</v>
      </c>
      <c r="C73" s="94" t="s">
        <v>528</v>
      </c>
      <c r="D73" s="124">
        <f>'Bevételek ÖNK'!D73+'Bevételek KÖH'!D73</f>
        <v>0</v>
      </c>
      <c r="E73" s="122"/>
      <c r="F73" s="86">
        <f t="shared" si="2"/>
        <v>0</v>
      </c>
    </row>
    <row r="74" spans="2:6" x14ac:dyDescent="0.25">
      <c r="B74" s="99" t="s">
        <v>529</v>
      </c>
      <c r="C74" s="90" t="s">
        <v>530</v>
      </c>
      <c r="D74" s="122">
        <f>'Bevételek ÖNK'!D74+'Bevételek KÖH'!D74</f>
        <v>0</v>
      </c>
      <c r="E74" s="122"/>
      <c r="F74" s="86">
        <f t="shared" si="2"/>
        <v>0</v>
      </c>
    </row>
    <row r="75" spans="2:6" x14ac:dyDescent="0.25">
      <c r="B75" s="112" t="s">
        <v>531</v>
      </c>
      <c r="C75" s="90" t="s">
        <v>532</v>
      </c>
      <c r="D75" s="122">
        <f>'Bevételek ÖNK'!D75+'Bevételek KÖH'!D75</f>
        <v>0</v>
      </c>
      <c r="E75" s="122"/>
      <c r="F75" s="86">
        <f t="shared" si="2"/>
        <v>0</v>
      </c>
    </row>
    <row r="76" spans="2:6" x14ac:dyDescent="0.25">
      <c r="B76" s="99" t="s">
        <v>533</v>
      </c>
      <c r="C76" s="90" t="s">
        <v>534</v>
      </c>
      <c r="D76" s="122">
        <f>'Bevételek ÖNK'!D76+'Bevételek KÖH'!D76</f>
        <v>0</v>
      </c>
      <c r="E76" s="122"/>
      <c r="F76" s="86">
        <f t="shared" si="2"/>
        <v>0</v>
      </c>
    </row>
    <row r="77" spans="2:6" x14ac:dyDescent="0.25">
      <c r="B77" s="112" t="s">
        <v>535</v>
      </c>
      <c r="C77" s="90" t="s">
        <v>536</v>
      </c>
      <c r="D77" s="122">
        <f>'Bevételek ÖNK'!D77+'Bevételek KÖH'!D77</f>
        <v>0</v>
      </c>
      <c r="E77" s="122"/>
      <c r="F77" s="86">
        <f t="shared" si="2"/>
        <v>0</v>
      </c>
    </row>
    <row r="78" spans="2:6" x14ac:dyDescent="0.25">
      <c r="B78" s="114" t="s">
        <v>537</v>
      </c>
      <c r="C78" s="94" t="s">
        <v>538</v>
      </c>
      <c r="D78" s="124">
        <f>'Bevételek ÖNK'!D78+'Bevételek KÖH'!D78</f>
        <v>0</v>
      </c>
      <c r="E78" s="122"/>
      <c r="F78" s="86">
        <f t="shared" si="2"/>
        <v>0</v>
      </c>
    </row>
    <row r="79" spans="2:6" x14ac:dyDescent="0.25">
      <c r="B79" s="90" t="s">
        <v>539</v>
      </c>
      <c r="C79" s="90" t="s">
        <v>540</v>
      </c>
      <c r="D79" s="84">
        <f>'Bevételek ÖNK'!D79+'Bevételek KÖH'!D79</f>
        <v>260079291</v>
      </c>
      <c r="E79" s="122"/>
      <c r="F79" s="86">
        <f t="shared" si="2"/>
        <v>260079291</v>
      </c>
    </row>
    <row r="80" spans="2:6" x14ac:dyDescent="0.25">
      <c r="B80" s="90" t="s">
        <v>541</v>
      </c>
      <c r="C80" s="90" t="s">
        <v>540</v>
      </c>
      <c r="D80" s="84">
        <f>'Bevételek ÖNK'!D80+'Bevételek KÖH'!D80</f>
        <v>0</v>
      </c>
      <c r="E80" s="122"/>
      <c r="F80" s="86">
        <f t="shared" si="2"/>
        <v>0</v>
      </c>
    </row>
    <row r="81" spans="2:6" x14ac:dyDescent="0.25">
      <c r="B81" s="90" t="s">
        <v>542</v>
      </c>
      <c r="C81" s="90" t="s">
        <v>543</v>
      </c>
      <c r="D81" s="122">
        <f>'Bevételek ÖNK'!D81+'Bevételek KÖH'!D81</f>
        <v>0</v>
      </c>
      <c r="E81" s="122"/>
      <c r="F81" s="86">
        <f t="shared" si="2"/>
        <v>0</v>
      </c>
    </row>
    <row r="82" spans="2:6" x14ac:dyDescent="0.25">
      <c r="B82" s="90" t="s">
        <v>544</v>
      </c>
      <c r="C82" s="90" t="s">
        <v>543</v>
      </c>
      <c r="D82" s="122">
        <f>'Bevételek ÖNK'!D82+'Bevételek KÖH'!D82</f>
        <v>0</v>
      </c>
      <c r="E82" s="122"/>
      <c r="F82" s="86">
        <f t="shared" si="2"/>
        <v>0</v>
      </c>
    </row>
    <row r="83" spans="2:6" x14ac:dyDescent="0.25">
      <c r="B83" s="94" t="s">
        <v>545</v>
      </c>
      <c r="C83" s="94" t="s">
        <v>546</v>
      </c>
      <c r="D83" s="86">
        <f>'Bevételek ÖNK'!D83+'Bevételek KÖH'!D83</f>
        <v>260079291</v>
      </c>
      <c r="E83" s="122"/>
      <c r="F83" s="86">
        <f t="shared" si="2"/>
        <v>260079291</v>
      </c>
    </row>
    <row r="84" spans="2:6" x14ac:dyDescent="0.25">
      <c r="B84" s="112" t="s">
        <v>99</v>
      </c>
      <c r="C84" s="90" t="s">
        <v>547</v>
      </c>
      <c r="D84" s="84">
        <f>'Bevételek ÖNK'!D84+'Bevételek KÖH'!D84</f>
        <v>0</v>
      </c>
      <c r="E84" s="122"/>
      <c r="F84" s="86">
        <f t="shared" si="2"/>
        <v>0</v>
      </c>
    </row>
    <row r="85" spans="2:6" x14ac:dyDescent="0.25">
      <c r="B85" s="112" t="s">
        <v>548</v>
      </c>
      <c r="C85" s="90" t="s">
        <v>549</v>
      </c>
      <c r="D85" s="122">
        <f>'Bevételek ÖNK'!D85+'Bevételek KÖH'!D85</f>
        <v>0</v>
      </c>
      <c r="E85" s="122"/>
      <c r="F85" s="86">
        <f t="shared" si="2"/>
        <v>0</v>
      </c>
    </row>
    <row r="86" spans="2:6" x14ac:dyDescent="0.25">
      <c r="B86" s="112" t="s">
        <v>550</v>
      </c>
      <c r="C86" s="90" t="s">
        <v>551</v>
      </c>
      <c r="D86" s="84">
        <f>'Bevételek ÖNK'!D86+'Bevételek KÖH'!D86</f>
        <v>79475225.599999994</v>
      </c>
      <c r="E86" s="122"/>
      <c r="F86" s="86">
        <f t="shared" si="2"/>
        <v>79475225.599999994</v>
      </c>
    </row>
    <row r="87" spans="2:6" x14ac:dyDescent="0.25">
      <c r="B87" s="112" t="s">
        <v>552</v>
      </c>
      <c r="C87" s="90" t="s">
        <v>553</v>
      </c>
      <c r="D87" s="122">
        <f>'Bevételek ÖNK'!D87++'Bevételek KÖH'!D87</f>
        <v>0</v>
      </c>
      <c r="E87" s="122"/>
      <c r="F87" s="86">
        <f t="shared" si="2"/>
        <v>0</v>
      </c>
    </row>
    <row r="88" spans="2:6" x14ac:dyDescent="0.25">
      <c r="B88" s="99" t="s">
        <v>554</v>
      </c>
      <c r="C88" s="90" t="s">
        <v>555</v>
      </c>
      <c r="D88" s="122">
        <f>'Bevételek ÖNK'!D88+'Bevételek KÖH'!D88</f>
        <v>0</v>
      </c>
      <c r="E88" s="122"/>
      <c r="F88" s="86">
        <f t="shared" si="2"/>
        <v>0</v>
      </c>
    </row>
    <row r="89" spans="2:6" x14ac:dyDescent="0.25">
      <c r="B89" s="110" t="s">
        <v>556</v>
      </c>
      <c r="C89" s="94" t="s">
        <v>557</v>
      </c>
      <c r="D89" s="86">
        <f>'Bevételek ÖNK'!D89+'Bevételek KÖH'!D89</f>
        <v>339554516.60000002</v>
      </c>
      <c r="E89" s="122"/>
      <c r="F89" s="86">
        <f t="shared" si="2"/>
        <v>339554516.60000002</v>
      </c>
    </row>
    <row r="90" spans="2:6" x14ac:dyDescent="0.25">
      <c r="B90" s="99" t="s">
        <v>558</v>
      </c>
      <c r="C90" s="90" t="s">
        <v>559</v>
      </c>
      <c r="D90" s="122">
        <f>'Bevételek ÖNK'!D90+'Bevételek KÖH'!D90</f>
        <v>0</v>
      </c>
      <c r="E90" s="122"/>
      <c r="F90" s="86">
        <f t="shared" si="2"/>
        <v>0</v>
      </c>
    </row>
    <row r="91" spans="2:6" x14ac:dyDescent="0.25">
      <c r="B91" s="99" t="s">
        <v>560</v>
      </c>
      <c r="C91" s="90" t="s">
        <v>561</v>
      </c>
      <c r="D91" s="122">
        <f>'Bevételek ÖNK'!D91+'Bevételek KÖH'!D91</f>
        <v>0</v>
      </c>
      <c r="E91" s="122"/>
      <c r="F91" s="86">
        <f t="shared" si="2"/>
        <v>0</v>
      </c>
    </row>
    <row r="92" spans="2:6" x14ac:dyDescent="0.25">
      <c r="B92" s="112" t="s">
        <v>562</v>
      </c>
      <c r="C92" s="90" t="s">
        <v>563</v>
      </c>
      <c r="D92" s="122">
        <f>'Bevételek ÖNK'!D92+'Bevételek KÖH'!D92</f>
        <v>0</v>
      </c>
      <c r="E92" s="122"/>
      <c r="F92" s="86">
        <f t="shared" si="2"/>
        <v>0</v>
      </c>
    </row>
    <row r="93" spans="2:6" x14ac:dyDescent="0.25">
      <c r="B93" s="112" t="s">
        <v>564</v>
      </c>
      <c r="C93" s="90" t="s">
        <v>565</v>
      </c>
      <c r="D93" s="122">
        <f>'Bevételek ÖNK'!D93+'Bevételek KÖH'!D93</f>
        <v>0</v>
      </c>
      <c r="E93" s="122"/>
      <c r="F93" s="86">
        <f t="shared" si="2"/>
        <v>0</v>
      </c>
    </row>
    <row r="94" spans="2:6" x14ac:dyDescent="0.25">
      <c r="B94" s="114" t="s">
        <v>566</v>
      </c>
      <c r="C94" s="94" t="s">
        <v>567</v>
      </c>
      <c r="D94" s="124">
        <f>'Bevételek ÖNK'!D94+'Bevételek KÖH'!D94</f>
        <v>0</v>
      </c>
      <c r="E94" s="122"/>
      <c r="F94" s="86">
        <f t="shared" si="2"/>
        <v>0</v>
      </c>
    </row>
    <row r="95" spans="2:6" x14ac:dyDescent="0.25">
      <c r="B95" s="110" t="s">
        <v>568</v>
      </c>
      <c r="C95" s="94" t="s">
        <v>569</v>
      </c>
      <c r="D95" s="122">
        <f>'Bevételek ÖNK'!D95+'Bevételek KÖH'!D95</f>
        <v>0</v>
      </c>
      <c r="E95" s="122"/>
      <c r="F95" s="86">
        <f t="shared" si="2"/>
        <v>0</v>
      </c>
    </row>
    <row r="96" spans="2:6" ht="15.75" x14ac:dyDescent="0.25">
      <c r="B96" s="228" t="s">
        <v>570</v>
      </c>
      <c r="C96" s="229" t="s">
        <v>571</v>
      </c>
      <c r="D96" s="226">
        <f>'Bevételek ÖNK'!D96+'Bevételek KÖH'!D96</f>
        <v>339554516.60000002</v>
      </c>
      <c r="E96" s="227"/>
      <c r="F96" s="226">
        <f t="shared" si="2"/>
        <v>339554516.60000002</v>
      </c>
    </row>
    <row r="97" spans="2:6" ht="15.75" x14ac:dyDescent="0.25">
      <c r="B97" s="230" t="s">
        <v>572</v>
      </c>
      <c r="C97" s="231"/>
      <c r="D97" s="232">
        <f>SUM(D19+D33+D44+D48+D55+D61+D65+D96)</f>
        <v>620978421.75557935</v>
      </c>
      <c r="E97" s="233"/>
      <c r="F97" s="232">
        <f t="shared" si="2"/>
        <v>620978421.75557935</v>
      </c>
    </row>
    <row r="99" spans="2:6" ht="18.75" x14ac:dyDescent="0.3">
      <c r="B99" s="128"/>
      <c r="C99" s="374">
        <f>SUM('KÖH bevétel'!F20+'ÖNK bevétel cofogra'!F234)</f>
        <v>620978421.75557935</v>
      </c>
      <c r="D99" s="88"/>
      <c r="F99" s="88"/>
    </row>
    <row r="101" spans="2:6" x14ac:dyDescent="0.25">
      <c r="D101" s="88"/>
    </row>
    <row r="102" spans="2:6" x14ac:dyDescent="0.25">
      <c r="D102" s="88"/>
    </row>
    <row r="103" spans="2:6" x14ac:dyDescent="0.25">
      <c r="D103" s="88"/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B1" sqref="B1"/>
    </sheetView>
  </sheetViews>
  <sheetFormatPr defaultRowHeight="15" x14ac:dyDescent="0.25"/>
  <cols>
    <col min="1" max="1" width="4.5703125" style="136" customWidth="1"/>
    <col min="2" max="2" width="82.5703125" style="136" customWidth="1"/>
    <col min="3" max="3" width="8.7109375" style="136"/>
    <col min="4" max="4" width="16.28515625" style="136" customWidth="1"/>
    <col min="5" max="257" width="8.7109375" style="136"/>
    <col min="258" max="258" width="82.5703125" style="136" customWidth="1"/>
    <col min="259" max="259" width="8.7109375" style="136"/>
    <col min="260" max="260" width="16.28515625" style="136" customWidth="1"/>
    <col min="261" max="513" width="8.7109375" style="136"/>
    <col min="514" max="514" width="82.5703125" style="136" customWidth="1"/>
    <col min="515" max="515" width="8.7109375" style="136"/>
    <col min="516" max="516" width="16.28515625" style="136" customWidth="1"/>
    <col min="517" max="769" width="8.7109375" style="136"/>
    <col min="770" max="770" width="82.5703125" style="136" customWidth="1"/>
    <col min="771" max="771" width="8.7109375" style="136"/>
    <col min="772" max="772" width="16.28515625" style="136" customWidth="1"/>
    <col min="773" max="1025" width="8.7109375" style="136"/>
    <col min="1026" max="1026" width="82.5703125" style="136" customWidth="1"/>
    <col min="1027" max="1027" width="8.7109375" style="136"/>
    <col min="1028" max="1028" width="16.28515625" style="136" customWidth="1"/>
    <col min="1029" max="1281" width="8.7109375" style="136"/>
    <col min="1282" max="1282" width="82.5703125" style="136" customWidth="1"/>
    <col min="1283" max="1283" width="8.7109375" style="136"/>
    <col min="1284" max="1284" width="16.28515625" style="136" customWidth="1"/>
    <col min="1285" max="1537" width="8.7109375" style="136"/>
    <col min="1538" max="1538" width="82.5703125" style="136" customWidth="1"/>
    <col min="1539" max="1539" width="8.7109375" style="136"/>
    <col min="1540" max="1540" width="16.28515625" style="136" customWidth="1"/>
    <col min="1541" max="1793" width="8.7109375" style="136"/>
    <col min="1794" max="1794" width="82.5703125" style="136" customWidth="1"/>
    <col min="1795" max="1795" width="8.7109375" style="136"/>
    <col min="1796" max="1796" width="16.28515625" style="136" customWidth="1"/>
    <col min="1797" max="2049" width="8.7109375" style="136"/>
    <col min="2050" max="2050" width="82.5703125" style="136" customWidth="1"/>
    <col min="2051" max="2051" width="8.7109375" style="136"/>
    <col min="2052" max="2052" width="16.28515625" style="136" customWidth="1"/>
    <col min="2053" max="2305" width="8.7109375" style="136"/>
    <col min="2306" max="2306" width="82.5703125" style="136" customWidth="1"/>
    <col min="2307" max="2307" width="8.7109375" style="136"/>
    <col min="2308" max="2308" width="16.28515625" style="136" customWidth="1"/>
    <col min="2309" max="2561" width="8.7109375" style="136"/>
    <col min="2562" max="2562" width="82.5703125" style="136" customWidth="1"/>
    <col min="2563" max="2563" width="8.7109375" style="136"/>
    <col min="2564" max="2564" width="16.28515625" style="136" customWidth="1"/>
    <col min="2565" max="2817" width="8.7109375" style="136"/>
    <col min="2818" max="2818" width="82.5703125" style="136" customWidth="1"/>
    <col min="2819" max="2819" width="8.7109375" style="136"/>
    <col min="2820" max="2820" width="16.28515625" style="136" customWidth="1"/>
    <col min="2821" max="3073" width="8.7109375" style="136"/>
    <col min="3074" max="3074" width="82.5703125" style="136" customWidth="1"/>
    <col min="3075" max="3075" width="8.7109375" style="136"/>
    <col min="3076" max="3076" width="16.28515625" style="136" customWidth="1"/>
    <col min="3077" max="3329" width="8.7109375" style="136"/>
    <col min="3330" max="3330" width="82.5703125" style="136" customWidth="1"/>
    <col min="3331" max="3331" width="8.7109375" style="136"/>
    <col min="3332" max="3332" width="16.28515625" style="136" customWidth="1"/>
    <col min="3333" max="3585" width="8.7109375" style="136"/>
    <col min="3586" max="3586" width="82.5703125" style="136" customWidth="1"/>
    <col min="3587" max="3587" width="8.7109375" style="136"/>
    <col min="3588" max="3588" width="16.28515625" style="136" customWidth="1"/>
    <col min="3589" max="3841" width="8.7109375" style="136"/>
    <col min="3842" max="3842" width="82.5703125" style="136" customWidth="1"/>
    <col min="3843" max="3843" width="8.7109375" style="136"/>
    <col min="3844" max="3844" width="16.28515625" style="136" customWidth="1"/>
    <col min="3845" max="4097" width="8.7109375" style="136"/>
    <col min="4098" max="4098" width="82.5703125" style="136" customWidth="1"/>
    <col min="4099" max="4099" width="8.7109375" style="136"/>
    <col min="4100" max="4100" width="16.28515625" style="136" customWidth="1"/>
    <col min="4101" max="4353" width="8.7109375" style="136"/>
    <col min="4354" max="4354" width="82.5703125" style="136" customWidth="1"/>
    <col min="4355" max="4355" width="8.7109375" style="136"/>
    <col min="4356" max="4356" width="16.28515625" style="136" customWidth="1"/>
    <col min="4357" max="4609" width="8.7109375" style="136"/>
    <col min="4610" max="4610" width="82.5703125" style="136" customWidth="1"/>
    <col min="4611" max="4611" width="8.7109375" style="136"/>
    <col min="4612" max="4612" width="16.28515625" style="136" customWidth="1"/>
    <col min="4613" max="4865" width="8.7109375" style="136"/>
    <col min="4866" max="4866" width="82.5703125" style="136" customWidth="1"/>
    <col min="4867" max="4867" width="8.7109375" style="136"/>
    <col min="4868" max="4868" width="16.28515625" style="136" customWidth="1"/>
    <col min="4869" max="5121" width="8.7109375" style="136"/>
    <col min="5122" max="5122" width="82.5703125" style="136" customWidth="1"/>
    <col min="5123" max="5123" width="8.7109375" style="136"/>
    <col min="5124" max="5124" width="16.28515625" style="136" customWidth="1"/>
    <col min="5125" max="5377" width="8.7109375" style="136"/>
    <col min="5378" max="5378" width="82.5703125" style="136" customWidth="1"/>
    <col min="5379" max="5379" width="8.7109375" style="136"/>
    <col min="5380" max="5380" width="16.28515625" style="136" customWidth="1"/>
    <col min="5381" max="5633" width="8.7109375" style="136"/>
    <col min="5634" max="5634" width="82.5703125" style="136" customWidth="1"/>
    <col min="5635" max="5635" width="8.7109375" style="136"/>
    <col min="5636" max="5636" width="16.28515625" style="136" customWidth="1"/>
    <col min="5637" max="5889" width="8.7109375" style="136"/>
    <col min="5890" max="5890" width="82.5703125" style="136" customWidth="1"/>
    <col min="5891" max="5891" width="8.7109375" style="136"/>
    <col min="5892" max="5892" width="16.28515625" style="136" customWidth="1"/>
    <col min="5893" max="6145" width="8.7109375" style="136"/>
    <col min="6146" max="6146" width="82.5703125" style="136" customWidth="1"/>
    <col min="6147" max="6147" width="8.7109375" style="136"/>
    <col min="6148" max="6148" width="16.28515625" style="136" customWidth="1"/>
    <col min="6149" max="6401" width="8.7109375" style="136"/>
    <col min="6402" max="6402" width="82.5703125" style="136" customWidth="1"/>
    <col min="6403" max="6403" width="8.7109375" style="136"/>
    <col min="6404" max="6404" width="16.28515625" style="136" customWidth="1"/>
    <col min="6405" max="6657" width="8.7109375" style="136"/>
    <col min="6658" max="6658" width="82.5703125" style="136" customWidth="1"/>
    <col min="6659" max="6659" width="8.7109375" style="136"/>
    <col min="6660" max="6660" width="16.28515625" style="136" customWidth="1"/>
    <col min="6661" max="6913" width="8.7109375" style="136"/>
    <col min="6914" max="6914" width="82.5703125" style="136" customWidth="1"/>
    <col min="6915" max="6915" width="8.7109375" style="136"/>
    <col min="6916" max="6916" width="16.28515625" style="136" customWidth="1"/>
    <col min="6917" max="7169" width="8.7109375" style="136"/>
    <col min="7170" max="7170" width="82.5703125" style="136" customWidth="1"/>
    <col min="7171" max="7171" width="8.7109375" style="136"/>
    <col min="7172" max="7172" width="16.28515625" style="136" customWidth="1"/>
    <col min="7173" max="7425" width="8.7109375" style="136"/>
    <col min="7426" max="7426" width="82.5703125" style="136" customWidth="1"/>
    <col min="7427" max="7427" width="8.7109375" style="136"/>
    <col min="7428" max="7428" width="16.28515625" style="136" customWidth="1"/>
    <col min="7429" max="7681" width="8.7109375" style="136"/>
    <col min="7682" max="7682" width="82.5703125" style="136" customWidth="1"/>
    <col min="7683" max="7683" width="8.7109375" style="136"/>
    <col min="7684" max="7684" width="16.28515625" style="136" customWidth="1"/>
    <col min="7685" max="7937" width="8.7109375" style="136"/>
    <col min="7938" max="7938" width="82.5703125" style="136" customWidth="1"/>
    <col min="7939" max="7939" width="8.7109375" style="136"/>
    <col min="7940" max="7940" width="16.28515625" style="136" customWidth="1"/>
    <col min="7941" max="8193" width="8.7109375" style="136"/>
    <col min="8194" max="8194" width="82.5703125" style="136" customWidth="1"/>
    <col min="8195" max="8195" width="8.7109375" style="136"/>
    <col min="8196" max="8196" width="16.28515625" style="136" customWidth="1"/>
    <col min="8197" max="8449" width="8.7109375" style="136"/>
    <col min="8450" max="8450" width="82.5703125" style="136" customWidth="1"/>
    <col min="8451" max="8451" width="8.7109375" style="136"/>
    <col min="8452" max="8452" width="16.28515625" style="136" customWidth="1"/>
    <col min="8453" max="8705" width="8.7109375" style="136"/>
    <col min="8706" max="8706" width="82.5703125" style="136" customWidth="1"/>
    <col min="8707" max="8707" width="8.7109375" style="136"/>
    <col min="8708" max="8708" width="16.28515625" style="136" customWidth="1"/>
    <col min="8709" max="8961" width="8.7109375" style="136"/>
    <col min="8962" max="8962" width="82.5703125" style="136" customWidth="1"/>
    <col min="8963" max="8963" width="8.7109375" style="136"/>
    <col min="8964" max="8964" width="16.28515625" style="136" customWidth="1"/>
    <col min="8965" max="9217" width="8.7109375" style="136"/>
    <col min="9218" max="9218" width="82.5703125" style="136" customWidth="1"/>
    <col min="9219" max="9219" width="8.7109375" style="136"/>
    <col min="9220" max="9220" width="16.28515625" style="136" customWidth="1"/>
    <col min="9221" max="9473" width="8.7109375" style="136"/>
    <col min="9474" max="9474" width="82.5703125" style="136" customWidth="1"/>
    <col min="9475" max="9475" width="8.7109375" style="136"/>
    <col min="9476" max="9476" width="16.28515625" style="136" customWidth="1"/>
    <col min="9477" max="9729" width="8.7109375" style="136"/>
    <col min="9730" max="9730" width="82.5703125" style="136" customWidth="1"/>
    <col min="9731" max="9731" width="8.7109375" style="136"/>
    <col min="9732" max="9732" width="16.28515625" style="136" customWidth="1"/>
    <col min="9733" max="9985" width="8.7109375" style="136"/>
    <col min="9986" max="9986" width="82.5703125" style="136" customWidth="1"/>
    <col min="9987" max="9987" width="8.7109375" style="136"/>
    <col min="9988" max="9988" width="16.28515625" style="136" customWidth="1"/>
    <col min="9989" max="10241" width="8.7109375" style="136"/>
    <col min="10242" max="10242" width="82.5703125" style="136" customWidth="1"/>
    <col min="10243" max="10243" width="8.7109375" style="136"/>
    <col min="10244" max="10244" width="16.28515625" style="136" customWidth="1"/>
    <col min="10245" max="10497" width="8.7109375" style="136"/>
    <col min="10498" max="10498" width="82.5703125" style="136" customWidth="1"/>
    <col min="10499" max="10499" width="8.7109375" style="136"/>
    <col min="10500" max="10500" width="16.28515625" style="136" customWidth="1"/>
    <col min="10501" max="10753" width="8.7109375" style="136"/>
    <col min="10754" max="10754" width="82.5703125" style="136" customWidth="1"/>
    <col min="10755" max="10755" width="8.7109375" style="136"/>
    <col min="10756" max="10756" width="16.28515625" style="136" customWidth="1"/>
    <col min="10757" max="11009" width="8.7109375" style="136"/>
    <col min="11010" max="11010" width="82.5703125" style="136" customWidth="1"/>
    <col min="11011" max="11011" width="8.7109375" style="136"/>
    <col min="11012" max="11012" width="16.28515625" style="136" customWidth="1"/>
    <col min="11013" max="11265" width="8.7109375" style="136"/>
    <col min="11266" max="11266" width="82.5703125" style="136" customWidth="1"/>
    <col min="11267" max="11267" width="8.7109375" style="136"/>
    <col min="11268" max="11268" width="16.28515625" style="136" customWidth="1"/>
    <col min="11269" max="11521" width="8.7109375" style="136"/>
    <col min="11522" max="11522" width="82.5703125" style="136" customWidth="1"/>
    <col min="11523" max="11523" width="8.7109375" style="136"/>
    <col min="11524" max="11524" width="16.28515625" style="136" customWidth="1"/>
    <col min="11525" max="11777" width="8.7109375" style="136"/>
    <col min="11778" max="11778" width="82.5703125" style="136" customWidth="1"/>
    <col min="11779" max="11779" width="8.7109375" style="136"/>
    <col min="11780" max="11780" width="16.28515625" style="136" customWidth="1"/>
    <col min="11781" max="12033" width="8.7109375" style="136"/>
    <col min="12034" max="12034" width="82.5703125" style="136" customWidth="1"/>
    <col min="12035" max="12035" width="8.7109375" style="136"/>
    <col min="12036" max="12036" width="16.28515625" style="136" customWidth="1"/>
    <col min="12037" max="12289" width="8.7109375" style="136"/>
    <col min="12290" max="12290" width="82.5703125" style="136" customWidth="1"/>
    <col min="12291" max="12291" width="8.7109375" style="136"/>
    <col min="12292" max="12292" width="16.28515625" style="136" customWidth="1"/>
    <col min="12293" max="12545" width="8.7109375" style="136"/>
    <col min="12546" max="12546" width="82.5703125" style="136" customWidth="1"/>
    <col min="12547" max="12547" width="8.7109375" style="136"/>
    <col min="12548" max="12548" width="16.28515625" style="136" customWidth="1"/>
    <col min="12549" max="12801" width="8.7109375" style="136"/>
    <col min="12802" max="12802" width="82.5703125" style="136" customWidth="1"/>
    <col min="12803" max="12803" width="8.7109375" style="136"/>
    <col min="12804" max="12804" width="16.28515625" style="136" customWidth="1"/>
    <col min="12805" max="13057" width="8.7109375" style="136"/>
    <col min="13058" max="13058" width="82.5703125" style="136" customWidth="1"/>
    <col min="13059" max="13059" width="8.7109375" style="136"/>
    <col min="13060" max="13060" width="16.28515625" style="136" customWidth="1"/>
    <col min="13061" max="13313" width="8.7109375" style="136"/>
    <col min="13314" max="13314" width="82.5703125" style="136" customWidth="1"/>
    <col min="13315" max="13315" width="8.7109375" style="136"/>
    <col min="13316" max="13316" width="16.28515625" style="136" customWidth="1"/>
    <col min="13317" max="13569" width="8.7109375" style="136"/>
    <col min="13570" max="13570" width="82.5703125" style="136" customWidth="1"/>
    <col min="13571" max="13571" width="8.7109375" style="136"/>
    <col min="13572" max="13572" width="16.28515625" style="136" customWidth="1"/>
    <col min="13573" max="13825" width="8.7109375" style="136"/>
    <col min="13826" max="13826" width="82.5703125" style="136" customWidth="1"/>
    <col min="13827" max="13827" width="8.7109375" style="136"/>
    <col min="13828" max="13828" width="16.28515625" style="136" customWidth="1"/>
    <col min="13829" max="14081" width="8.7109375" style="136"/>
    <col min="14082" max="14082" width="82.5703125" style="136" customWidth="1"/>
    <col min="14083" max="14083" width="8.7109375" style="136"/>
    <col min="14084" max="14084" width="16.28515625" style="136" customWidth="1"/>
    <col min="14085" max="14337" width="8.7109375" style="136"/>
    <col min="14338" max="14338" width="82.5703125" style="136" customWidth="1"/>
    <col min="14339" max="14339" width="8.7109375" style="136"/>
    <col min="14340" max="14340" width="16.28515625" style="136" customWidth="1"/>
    <col min="14341" max="14593" width="8.7109375" style="136"/>
    <col min="14594" max="14594" width="82.5703125" style="136" customWidth="1"/>
    <col min="14595" max="14595" width="8.7109375" style="136"/>
    <col min="14596" max="14596" width="16.28515625" style="136" customWidth="1"/>
    <col min="14597" max="14849" width="8.7109375" style="136"/>
    <col min="14850" max="14850" width="82.5703125" style="136" customWidth="1"/>
    <col min="14851" max="14851" width="8.7109375" style="136"/>
    <col min="14852" max="14852" width="16.28515625" style="136" customWidth="1"/>
    <col min="14853" max="15105" width="8.7109375" style="136"/>
    <col min="15106" max="15106" width="82.5703125" style="136" customWidth="1"/>
    <col min="15107" max="15107" width="8.7109375" style="136"/>
    <col min="15108" max="15108" width="16.28515625" style="136" customWidth="1"/>
    <col min="15109" max="15361" width="8.7109375" style="136"/>
    <col min="15362" max="15362" width="82.5703125" style="136" customWidth="1"/>
    <col min="15363" max="15363" width="8.7109375" style="136"/>
    <col min="15364" max="15364" width="16.28515625" style="136" customWidth="1"/>
    <col min="15365" max="15617" width="8.7109375" style="136"/>
    <col min="15618" max="15618" width="82.5703125" style="136" customWidth="1"/>
    <col min="15619" max="15619" width="8.7109375" style="136"/>
    <col min="15620" max="15620" width="16.28515625" style="136" customWidth="1"/>
    <col min="15621" max="15873" width="8.7109375" style="136"/>
    <col min="15874" max="15874" width="82.5703125" style="136" customWidth="1"/>
    <col min="15875" max="15875" width="8.7109375" style="136"/>
    <col min="15876" max="15876" width="16.28515625" style="136" customWidth="1"/>
    <col min="15877" max="16129" width="8.7109375" style="136"/>
    <col min="16130" max="16130" width="82.5703125" style="136" customWidth="1"/>
    <col min="16131" max="16131" width="8.7109375" style="136"/>
    <col min="16132" max="16132" width="16.28515625" style="136" customWidth="1"/>
    <col min="16133" max="16384" width="8.7109375" style="136"/>
  </cols>
  <sheetData>
    <row r="1" spans="1:4" x14ac:dyDescent="0.25">
      <c r="A1" s="135" t="s">
        <v>604</v>
      </c>
      <c r="B1" s="678" t="str">
        <f>'Bevételek ÖNK'!B1</f>
        <v>melléklet a 4/2021.(III.08.) önkormányzati rendelethez</v>
      </c>
    </row>
    <row r="2" spans="1:4" ht="27" customHeight="1" x14ac:dyDescent="0.25">
      <c r="B2" s="794" t="str">
        <f>'Kiemelt EI.'!B2:C2</f>
        <v>Az önkormányzat 2022.évi költségvetése</v>
      </c>
      <c r="C2" s="794"/>
      <c r="D2" s="794"/>
    </row>
    <row r="3" spans="1:4" ht="25.5" customHeight="1" x14ac:dyDescent="0.25">
      <c r="B3" s="795" t="s">
        <v>605</v>
      </c>
      <c r="C3" s="796"/>
      <c r="D3" s="796"/>
    </row>
    <row r="4" spans="1:4" ht="15.75" customHeight="1" x14ac:dyDescent="0.25">
      <c r="B4" s="137"/>
      <c r="C4" s="138"/>
      <c r="D4" s="138"/>
    </row>
    <row r="5" spans="1:4" ht="21" customHeight="1" x14ac:dyDescent="0.25">
      <c r="B5" s="139" t="s">
        <v>595</v>
      </c>
    </row>
    <row r="6" spans="1:4" ht="25.5" x14ac:dyDescent="0.25">
      <c r="B6" s="140" t="s">
        <v>130</v>
      </c>
      <c r="C6" s="141" t="s">
        <v>190</v>
      </c>
      <c r="D6" s="142" t="s">
        <v>606</v>
      </c>
    </row>
    <row r="7" spans="1:4" x14ac:dyDescent="0.25">
      <c r="B7" s="143" t="s">
        <v>607</v>
      </c>
      <c r="C7" s="144" t="s">
        <v>423</v>
      </c>
      <c r="D7" s="145"/>
    </row>
    <row r="8" spans="1:4" x14ac:dyDescent="0.25">
      <c r="B8" s="143" t="s">
        <v>608</v>
      </c>
      <c r="C8" s="144" t="s">
        <v>423</v>
      </c>
      <c r="D8" s="145"/>
    </row>
    <row r="9" spans="1:4" ht="30" x14ac:dyDescent="0.25">
      <c r="B9" s="143" t="s">
        <v>609</v>
      </c>
      <c r="C9" s="144" t="s">
        <v>423</v>
      </c>
      <c r="D9" s="145"/>
    </row>
    <row r="10" spans="1:4" x14ac:dyDescent="0.25">
      <c r="B10" s="143" t="s">
        <v>610</v>
      </c>
      <c r="C10" s="144" t="s">
        <v>423</v>
      </c>
      <c r="D10" s="145"/>
    </row>
    <row r="11" spans="1:4" x14ac:dyDescent="0.25">
      <c r="B11" s="143" t="s">
        <v>611</v>
      </c>
      <c r="C11" s="144" t="s">
        <v>423</v>
      </c>
      <c r="D11" s="145"/>
    </row>
    <row r="12" spans="1:4" x14ac:dyDescent="0.25">
      <c r="B12" s="143" t="s">
        <v>612</v>
      </c>
      <c r="C12" s="144" t="s">
        <v>423</v>
      </c>
      <c r="D12" s="145"/>
    </row>
    <row r="13" spans="1:4" x14ac:dyDescent="0.25">
      <c r="B13" s="143" t="s">
        <v>613</v>
      </c>
      <c r="C13" s="144" t="s">
        <v>423</v>
      </c>
      <c r="D13" s="145"/>
    </row>
    <row r="14" spans="1:4" x14ac:dyDescent="0.25">
      <c r="B14" s="143" t="s">
        <v>614</v>
      </c>
      <c r="C14" s="144" t="s">
        <v>423</v>
      </c>
      <c r="D14" s="145"/>
    </row>
    <row r="15" spans="1:4" x14ac:dyDescent="0.25">
      <c r="B15" s="143" t="s">
        <v>615</v>
      </c>
      <c r="C15" s="144" t="s">
        <v>423</v>
      </c>
      <c r="D15" s="145"/>
    </row>
    <row r="16" spans="1:4" x14ac:dyDescent="0.25">
      <c r="B16" s="143" t="s">
        <v>616</v>
      </c>
      <c r="C16" s="144" t="s">
        <v>423</v>
      </c>
      <c r="D16" s="145"/>
    </row>
    <row r="17" spans="2:4" ht="25.5" x14ac:dyDescent="0.25">
      <c r="B17" s="146" t="s">
        <v>422</v>
      </c>
      <c r="C17" s="147" t="s">
        <v>423</v>
      </c>
      <c r="D17" s="151">
        <f>SUM('Bevételek ÖNK'!D16)</f>
        <v>0</v>
      </c>
    </row>
    <row r="18" spans="2:4" x14ac:dyDescent="0.25">
      <c r="B18" s="143" t="s">
        <v>607</v>
      </c>
      <c r="C18" s="144" t="s">
        <v>425</v>
      </c>
      <c r="D18" s="145"/>
    </row>
    <row r="19" spans="2:4" x14ac:dyDescent="0.25">
      <c r="B19" s="143" t="s">
        <v>608</v>
      </c>
      <c r="C19" s="144" t="s">
        <v>425</v>
      </c>
      <c r="D19" s="145"/>
    </row>
    <row r="20" spans="2:4" ht="30" x14ac:dyDescent="0.25">
      <c r="B20" s="143" t="s">
        <v>609</v>
      </c>
      <c r="C20" s="144" t="s">
        <v>425</v>
      </c>
      <c r="D20" s="145"/>
    </row>
    <row r="21" spans="2:4" x14ac:dyDescent="0.25">
      <c r="B21" s="143" t="s">
        <v>610</v>
      </c>
      <c r="C21" s="144" t="s">
        <v>425</v>
      </c>
      <c r="D21" s="145"/>
    </row>
    <row r="22" spans="2:4" x14ac:dyDescent="0.25">
      <c r="B22" s="143" t="s">
        <v>611</v>
      </c>
      <c r="C22" s="144" t="s">
        <v>425</v>
      </c>
      <c r="D22" s="145"/>
    </row>
    <row r="23" spans="2:4" x14ac:dyDescent="0.25">
      <c r="B23" s="143" t="s">
        <v>612</v>
      </c>
      <c r="C23" s="144" t="s">
        <v>425</v>
      </c>
      <c r="D23" s="145"/>
    </row>
    <row r="24" spans="2:4" x14ac:dyDescent="0.25">
      <c r="B24" s="143" t="s">
        <v>613</v>
      </c>
      <c r="C24" s="144" t="s">
        <v>425</v>
      </c>
      <c r="D24" s="145"/>
    </row>
    <row r="25" spans="2:4" x14ac:dyDescent="0.25">
      <c r="B25" s="143" t="s">
        <v>614</v>
      </c>
      <c r="C25" s="144" t="s">
        <v>425</v>
      </c>
      <c r="D25" s="145"/>
    </row>
    <row r="26" spans="2:4" x14ac:dyDescent="0.25">
      <c r="B26" s="143" t="s">
        <v>615</v>
      </c>
      <c r="C26" s="144" t="s">
        <v>425</v>
      </c>
      <c r="D26" s="145"/>
    </row>
    <row r="27" spans="2:4" x14ac:dyDescent="0.25">
      <c r="B27" s="143" t="s">
        <v>616</v>
      </c>
      <c r="C27" s="144" t="s">
        <v>425</v>
      </c>
      <c r="D27" s="145"/>
    </row>
    <row r="28" spans="2:4" ht="25.5" x14ac:dyDescent="0.25">
      <c r="B28" s="146" t="s">
        <v>617</v>
      </c>
      <c r="C28" s="147" t="s">
        <v>425</v>
      </c>
      <c r="D28" s="151">
        <f>SUM('Bevételek ÖNK'!F17)</f>
        <v>0</v>
      </c>
    </row>
    <row r="29" spans="2:4" ht="16.5" customHeight="1" x14ac:dyDescent="0.25">
      <c r="B29" s="143" t="s">
        <v>607</v>
      </c>
      <c r="C29" s="144" t="s">
        <v>427</v>
      </c>
      <c r="D29" s="145"/>
    </row>
    <row r="30" spans="2:4" ht="19.5" customHeight="1" x14ac:dyDescent="0.25">
      <c r="B30" s="143" t="s">
        <v>618</v>
      </c>
      <c r="C30" s="144" t="s">
        <v>427</v>
      </c>
      <c r="D30" s="149">
        <v>0</v>
      </c>
    </row>
    <row r="31" spans="2:4" ht="20.25" customHeight="1" x14ac:dyDescent="0.25">
      <c r="B31" s="143" t="s">
        <v>644</v>
      </c>
      <c r="C31" s="144" t="s">
        <v>427</v>
      </c>
      <c r="D31" s="149">
        <f>SUM('Önkorm bevételek'!E60)</f>
        <v>7330302</v>
      </c>
    </row>
    <row r="32" spans="2:4" x14ac:dyDescent="0.25">
      <c r="B32" s="143" t="s">
        <v>610</v>
      </c>
      <c r="C32" s="144" t="s">
        <v>427</v>
      </c>
      <c r="D32" s="145"/>
    </row>
    <row r="33" spans="2:6" x14ac:dyDescent="0.25">
      <c r="B33" s="143" t="s">
        <v>642</v>
      </c>
      <c r="C33" s="144" t="s">
        <v>427</v>
      </c>
      <c r="D33" s="149">
        <f>SUM('Önkorm bevételek'!E54+'Önkorm bevételek'!E55)</f>
        <v>39973824</v>
      </c>
    </row>
    <row r="34" spans="2:6" ht="17.100000000000001" customHeight="1" x14ac:dyDescent="0.25">
      <c r="B34" s="143" t="s">
        <v>643</v>
      </c>
      <c r="C34" s="144" t="s">
        <v>427</v>
      </c>
      <c r="D34" s="149">
        <f>SUM('ÖNK bevétel cofogra'!F157)</f>
        <v>2760850</v>
      </c>
    </row>
    <row r="35" spans="2:6" x14ac:dyDescent="0.25">
      <c r="B35" s="143" t="s">
        <v>613</v>
      </c>
      <c r="C35" s="144" t="s">
        <v>427</v>
      </c>
      <c r="D35" s="154">
        <f>SUM('ÖNK bevétel cofogra'!F91)</f>
        <v>16253302.155579342</v>
      </c>
      <c r="F35" s="150"/>
    </row>
    <row r="36" spans="2:6" x14ac:dyDescent="0.25">
      <c r="B36" s="143" t="s">
        <v>614</v>
      </c>
      <c r="C36" s="144" t="s">
        <v>427</v>
      </c>
      <c r="D36" s="145"/>
    </row>
    <row r="37" spans="2:6" x14ac:dyDescent="0.25">
      <c r="B37" s="143" t="s">
        <v>615</v>
      </c>
      <c r="C37" s="144" t="s">
        <v>427</v>
      </c>
      <c r="D37" s="149"/>
    </row>
    <row r="38" spans="2:6" x14ac:dyDescent="0.25">
      <c r="B38" s="143" t="s">
        <v>616</v>
      </c>
      <c r="C38" s="144" t="s">
        <v>427</v>
      </c>
      <c r="D38" s="145"/>
    </row>
    <row r="39" spans="2:6" x14ac:dyDescent="0.25">
      <c r="B39" s="146" t="s">
        <v>619</v>
      </c>
      <c r="C39" s="147" t="s">
        <v>427</v>
      </c>
      <c r="D39" s="151">
        <f>SUM(D29:D38)</f>
        <v>66318278.155579343</v>
      </c>
      <c r="F39" s="150"/>
    </row>
    <row r="40" spans="2:6" x14ac:dyDescent="0.25">
      <c r="B40" s="143" t="s">
        <v>607</v>
      </c>
      <c r="C40" s="144" t="s">
        <v>491</v>
      </c>
      <c r="D40" s="145"/>
    </row>
    <row r="41" spans="2:6" x14ac:dyDescent="0.25">
      <c r="B41" s="143" t="s">
        <v>608</v>
      </c>
      <c r="C41" s="144" t="s">
        <v>491</v>
      </c>
      <c r="D41" s="145"/>
    </row>
    <row r="42" spans="2:6" ht="30" x14ac:dyDescent="0.25">
      <c r="B42" s="143" t="s">
        <v>609</v>
      </c>
      <c r="C42" s="144" t="s">
        <v>491</v>
      </c>
      <c r="D42" s="145"/>
    </row>
    <row r="43" spans="2:6" x14ac:dyDescent="0.25">
      <c r="B43" s="143" t="s">
        <v>610</v>
      </c>
      <c r="C43" s="144" t="s">
        <v>491</v>
      </c>
      <c r="D43" s="145"/>
    </row>
    <row r="44" spans="2:6" x14ac:dyDescent="0.25">
      <c r="B44" s="143" t="s">
        <v>611</v>
      </c>
      <c r="C44" s="144" t="s">
        <v>491</v>
      </c>
      <c r="D44" s="145"/>
    </row>
    <row r="45" spans="2:6" x14ac:dyDescent="0.25">
      <c r="B45" s="143" t="s">
        <v>612</v>
      </c>
      <c r="C45" s="144" t="s">
        <v>491</v>
      </c>
      <c r="D45" s="145"/>
    </row>
    <row r="46" spans="2:6" x14ac:dyDescent="0.25">
      <c r="B46" s="143" t="s">
        <v>613</v>
      </c>
      <c r="C46" s="144" t="s">
        <v>491</v>
      </c>
      <c r="D46" s="145"/>
    </row>
    <row r="47" spans="2:6" x14ac:dyDescent="0.25">
      <c r="B47" s="143" t="s">
        <v>614</v>
      </c>
      <c r="C47" s="144" t="s">
        <v>491</v>
      </c>
      <c r="D47" s="145"/>
    </row>
    <row r="48" spans="2:6" x14ac:dyDescent="0.25">
      <c r="B48" s="143" t="s">
        <v>615</v>
      </c>
      <c r="C48" s="144" t="s">
        <v>491</v>
      </c>
      <c r="D48" s="145"/>
    </row>
    <row r="49" spans="2:4" x14ac:dyDescent="0.25">
      <c r="B49" s="143" t="s">
        <v>616</v>
      </c>
      <c r="C49" s="144" t="s">
        <v>491</v>
      </c>
      <c r="D49" s="145"/>
    </row>
    <row r="50" spans="2:4" ht="25.5" x14ac:dyDescent="0.25">
      <c r="B50" s="146" t="s">
        <v>620</v>
      </c>
      <c r="C50" s="147" t="s">
        <v>491</v>
      </c>
      <c r="D50" s="145"/>
    </row>
    <row r="51" spans="2:4" x14ac:dyDescent="0.25">
      <c r="B51" s="143" t="s">
        <v>621</v>
      </c>
      <c r="C51" s="144" t="s">
        <v>493</v>
      </c>
      <c r="D51" s="145"/>
    </row>
    <row r="52" spans="2:4" x14ac:dyDescent="0.25">
      <c r="B52" s="143" t="s">
        <v>608</v>
      </c>
      <c r="C52" s="144" t="s">
        <v>493</v>
      </c>
      <c r="D52" s="145"/>
    </row>
    <row r="53" spans="2:4" ht="30" x14ac:dyDescent="0.25">
      <c r="B53" s="143" t="s">
        <v>609</v>
      </c>
      <c r="C53" s="144" t="s">
        <v>493</v>
      </c>
      <c r="D53" s="145"/>
    </row>
    <row r="54" spans="2:4" x14ac:dyDescent="0.25">
      <c r="B54" s="143" t="s">
        <v>610</v>
      </c>
      <c r="C54" s="144" t="s">
        <v>493</v>
      </c>
      <c r="D54" s="145"/>
    </row>
    <row r="55" spans="2:4" x14ac:dyDescent="0.25">
      <c r="B55" s="143" t="s">
        <v>611</v>
      </c>
      <c r="C55" s="144" t="s">
        <v>493</v>
      </c>
      <c r="D55" s="145"/>
    </row>
    <row r="56" spans="2:4" x14ac:dyDescent="0.25">
      <c r="B56" s="143" t="s">
        <v>612</v>
      </c>
      <c r="C56" s="144" t="s">
        <v>493</v>
      </c>
      <c r="D56" s="145"/>
    </row>
    <row r="57" spans="2:4" x14ac:dyDescent="0.25">
      <c r="B57" s="143" t="s">
        <v>613</v>
      </c>
      <c r="C57" s="144" t="s">
        <v>493</v>
      </c>
      <c r="D57" s="145"/>
    </row>
    <row r="58" spans="2:4" x14ac:dyDescent="0.25">
      <c r="B58" s="143" t="s">
        <v>614</v>
      </c>
      <c r="C58" s="144" t="s">
        <v>493</v>
      </c>
      <c r="D58" s="145"/>
    </row>
    <row r="59" spans="2:4" x14ac:dyDescent="0.25">
      <c r="B59" s="143" t="s">
        <v>615</v>
      </c>
      <c r="C59" s="144" t="s">
        <v>493</v>
      </c>
      <c r="D59" s="145"/>
    </row>
    <row r="60" spans="2:4" x14ac:dyDescent="0.25">
      <c r="B60" s="143" t="s">
        <v>616</v>
      </c>
      <c r="C60" s="144" t="s">
        <v>493</v>
      </c>
      <c r="D60" s="145"/>
    </row>
    <row r="61" spans="2:4" ht="25.5" x14ac:dyDescent="0.25">
      <c r="B61" s="146" t="s">
        <v>622</v>
      </c>
      <c r="C61" s="147" t="s">
        <v>493</v>
      </c>
      <c r="D61" s="145"/>
    </row>
    <row r="62" spans="2:4" x14ac:dyDescent="0.25">
      <c r="B62" s="143" t="s">
        <v>607</v>
      </c>
      <c r="C62" s="144" t="s">
        <v>495</v>
      </c>
      <c r="D62" s="145"/>
    </row>
    <row r="63" spans="2:4" x14ac:dyDescent="0.25">
      <c r="B63" s="143" t="s">
        <v>608</v>
      </c>
      <c r="C63" s="144" t="s">
        <v>495</v>
      </c>
      <c r="D63" s="145"/>
    </row>
    <row r="64" spans="2:4" x14ac:dyDescent="0.25">
      <c r="B64" s="143" t="s">
        <v>1405</v>
      </c>
      <c r="C64" s="144" t="s">
        <v>495</v>
      </c>
      <c r="D64" s="149">
        <f>SUM('ÖNK bevétel cofogra'!F203)</f>
        <v>0</v>
      </c>
    </row>
    <row r="65" spans="2:4" x14ac:dyDescent="0.25">
      <c r="B65" s="143" t="s">
        <v>610</v>
      </c>
      <c r="C65" s="144" t="s">
        <v>495</v>
      </c>
      <c r="D65" s="145"/>
    </row>
    <row r="66" spans="2:4" x14ac:dyDescent="0.25">
      <c r="B66" s="143" t="s">
        <v>611</v>
      </c>
      <c r="C66" s="144" t="s">
        <v>495</v>
      </c>
      <c r="D66" s="145"/>
    </row>
    <row r="67" spans="2:4" x14ac:dyDescent="0.25">
      <c r="B67" s="143" t="s">
        <v>612</v>
      </c>
      <c r="C67" s="144" t="s">
        <v>495</v>
      </c>
      <c r="D67" s="145"/>
    </row>
    <row r="68" spans="2:4" x14ac:dyDescent="0.25">
      <c r="B68" s="143" t="s">
        <v>613</v>
      </c>
      <c r="C68" s="144" t="s">
        <v>495</v>
      </c>
      <c r="D68" s="145"/>
    </row>
    <row r="69" spans="2:4" x14ac:dyDescent="0.25">
      <c r="B69" s="143" t="s">
        <v>614</v>
      </c>
      <c r="C69" s="144" t="s">
        <v>495</v>
      </c>
      <c r="D69" s="145"/>
    </row>
    <row r="70" spans="2:4" x14ac:dyDescent="0.25">
      <c r="B70" s="143" t="s">
        <v>615</v>
      </c>
      <c r="C70" s="144" t="s">
        <v>495</v>
      </c>
      <c r="D70" s="145"/>
    </row>
    <row r="71" spans="2:4" x14ac:dyDescent="0.25">
      <c r="B71" s="143" t="s">
        <v>616</v>
      </c>
      <c r="C71" s="144" t="s">
        <v>495</v>
      </c>
      <c r="D71" s="145"/>
    </row>
    <row r="72" spans="2:4" x14ac:dyDescent="0.25">
      <c r="B72" s="146" t="s">
        <v>494</v>
      </c>
      <c r="C72" s="147" t="s">
        <v>495</v>
      </c>
      <c r="D72" s="151">
        <f>SUM(D62:D71)</f>
        <v>0</v>
      </c>
    </row>
    <row r="73" spans="2:4" x14ac:dyDescent="0.25">
      <c r="B73" s="143" t="s">
        <v>623</v>
      </c>
      <c r="C73" s="152" t="s">
        <v>624</v>
      </c>
      <c r="D73" s="145"/>
    </row>
    <row r="74" spans="2:4" x14ac:dyDescent="0.25">
      <c r="B74" s="143" t="s">
        <v>625</v>
      </c>
      <c r="C74" s="152" t="s">
        <v>624</v>
      </c>
      <c r="D74" s="145"/>
    </row>
    <row r="75" spans="2:4" x14ac:dyDescent="0.25">
      <c r="B75" s="143" t="s">
        <v>626</v>
      </c>
      <c r="C75" s="152" t="s">
        <v>624</v>
      </c>
      <c r="D75" s="149">
        <f>'Önkorm bevételek'!E104</f>
        <v>0</v>
      </c>
    </row>
    <row r="76" spans="2:4" x14ac:dyDescent="0.25">
      <c r="B76" s="152" t="s">
        <v>627</v>
      </c>
      <c r="C76" s="152" t="s">
        <v>624</v>
      </c>
      <c r="D76" s="145"/>
    </row>
    <row r="77" spans="2:4" x14ac:dyDescent="0.25">
      <c r="B77" s="152" t="s">
        <v>628</v>
      </c>
      <c r="C77" s="152" t="s">
        <v>624</v>
      </c>
      <c r="D77" s="145"/>
    </row>
    <row r="78" spans="2:4" x14ac:dyDescent="0.25">
      <c r="B78" s="152" t="s">
        <v>629</v>
      </c>
      <c r="C78" s="152" t="s">
        <v>624</v>
      </c>
      <c r="D78" s="145"/>
    </row>
    <row r="79" spans="2:4" x14ac:dyDescent="0.25">
      <c r="B79" s="143" t="s">
        <v>630</v>
      </c>
      <c r="C79" s="152" t="s">
        <v>624</v>
      </c>
      <c r="D79" s="145"/>
    </row>
    <row r="80" spans="2:4" x14ac:dyDescent="0.25">
      <c r="B80" s="143" t="s">
        <v>631</v>
      </c>
      <c r="C80" s="152" t="s">
        <v>624</v>
      </c>
      <c r="D80" s="145"/>
    </row>
    <row r="81" spans="2:4" x14ac:dyDescent="0.25">
      <c r="B81" s="143" t="s">
        <v>632</v>
      </c>
      <c r="C81" s="152" t="s">
        <v>624</v>
      </c>
      <c r="D81" s="145"/>
    </row>
    <row r="82" spans="2:4" x14ac:dyDescent="0.25">
      <c r="B82" s="143" t="s">
        <v>633</v>
      </c>
      <c r="C82" s="152" t="s">
        <v>624</v>
      </c>
      <c r="D82" s="145"/>
    </row>
    <row r="83" spans="2:4" ht="25.5" x14ac:dyDescent="0.25">
      <c r="B83" s="146" t="s">
        <v>634</v>
      </c>
      <c r="C83" s="147" t="s">
        <v>624</v>
      </c>
      <c r="D83" s="151">
        <f>SUM(D73:D82)</f>
        <v>0</v>
      </c>
    </row>
    <row r="84" spans="2:4" x14ac:dyDescent="0.25">
      <c r="B84" s="143" t="s">
        <v>1406</v>
      </c>
      <c r="C84" s="152" t="s">
        <v>635</v>
      </c>
      <c r="D84" s="149"/>
    </row>
    <row r="85" spans="2:4" x14ac:dyDescent="0.25">
      <c r="B85" s="143" t="s">
        <v>625</v>
      </c>
      <c r="C85" s="152" t="s">
        <v>635</v>
      </c>
      <c r="D85" s="145"/>
    </row>
    <row r="86" spans="2:4" x14ac:dyDescent="0.25">
      <c r="B86" s="143" t="s">
        <v>636</v>
      </c>
      <c r="C86" s="152" t="s">
        <v>635</v>
      </c>
      <c r="D86" s="145"/>
    </row>
    <row r="87" spans="2:4" x14ac:dyDescent="0.25">
      <c r="B87" s="152" t="s">
        <v>627</v>
      </c>
      <c r="C87" s="152" t="s">
        <v>635</v>
      </c>
      <c r="D87" s="145"/>
    </row>
    <row r="88" spans="2:4" x14ac:dyDescent="0.25">
      <c r="B88" s="152" t="s">
        <v>628</v>
      </c>
      <c r="C88" s="152" t="s">
        <v>635</v>
      </c>
      <c r="D88" s="145"/>
    </row>
    <row r="89" spans="2:4" x14ac:dyDescent="0.25">
      <c r="B89" s="152" t="s">
        <v>629</v>
      </c>
      <c r="C89" s="152" t="s">
        <v>635</v>
      </c>
      <c r="D89" s="145"/>
    </row>
    <row r="90" spans="2:4" x14ac:dyDescent="0.25">
      <c r="B90" s="143" t="s">
        <v>630</v>
      </c>
      <c r="C90" s="152" t="s">
        <v>635</v>
      </c>
      <c r="D90" s="145"/>
    </row>
    <row r="91" spans="2:4" x14ac:dyDescent="0.25">
      <c r="B91" s="143" t="s">
        <v>637</v>
      </c>
      <c r="C91" s="152" t="s">
        <v>635</v>
      </c>
      <c r="D91" s="145"/>
    </row>
    <row r="92" spans="2:4" x14ac:dyDescent="0.25">
      <c r="B92" s="143" t="s">
        <v>632</v>
      </c>
      <c r="C92" s="152" t="s">
        <v>635</v>
      </c>
      <c r="D92" s="145"/>
    </row>
    <row r="93" spans="2:4" x14ac:dyDescent="0.25">
      <c r="B93" s="143" t="s">
        <v>633</v>
      </c>
      <c r="C93" s="152" t="s">
        <v>635</v>
      </c>
      <c r="D93" s="145"/>
    </row>
    <row r="94" spans="2:4" x14ac:dyDescent="0.25">
      <c r="B94" s="153" t="s">
        <v>638</v>
      </c>
      <c r="C94" s="146" t="s">
        <v>635</v>
      </c>
      <c r="D94" s="151">
        <f>SUM(D84:D93)</f>
        <v>0</v>
      </c>
    </row>
    <row r="95" spans="2:4" x14ac:dyDescent="0.25">
      <c r="B95" s="143" t="s">
        <v>623</v>
      </c>
      <c r="C95" s="152" t="s">
        <v>602</v>
      </c>
      <c r="D95" s="145"/>
    </row>
    <row r="96" spans="2:4" x14ac:dyDescent="0.25">
      <c r="B96" s="143" t="s">
        <v>625</v>
      </c>
      <c r="C96" s="152" t="s">
        <v>602</v>
      </c>
      <c r="D96" s="145"/>
    </row>
    <row r="97" spans="2:4" x14ac:dyDescent="0.25">
      <c r="B97" s="143" t="s">
        <v>639</v>
      </c>
      <c r="C97" s="152" t="s">
        <v>602</v>
      </c>
      <c r="D97" s="149">
        <f>SUM('ÖNK bevétel cofogra'!F230)</f>
        <v>500000</v>
      </c>
    </row>
    <row r="98" spans="2:4" x14ac:dyDescent="0.25">
      <c r="B98" s="152" t="s">
        <v>627</v>
      </c>
      <c r="C98" s="152" t="s">
        <v>602</v>
      </c>
      <c r="D98" s="145"/>
    </row>
    <row r="99" spans="2:4" x14ac:dyDescent="0.25">
      <c r="B99" s="152" t="s">
        <v>628</v>
      </c>
      <c r="C99" s="152" t="s">
        <v>602</v>
      </c>
      <c r="D99" s="145"/>
    </row>
    <row r="100" spans="2:4" x14ac:dyDescent="0.25">
      <c r="B100" s="152" t="s">
        <v>629</v>
      </c>
      <c r="C100" s="152" t="s">
        <v>602</v>
      </c>
      <c r="D100" s="145"/>
    </row>
    <row r="101" spans="2:4" x14ac:dyDescent="0.25">
      <c r="B101" s="143" t="s">
        <v>630</v>
      </c>
      <c r="C101" s="152" t="s">
        <v>602</v>
      </c>
      <c r="D101" s="145"/>
    </row>
    <row r="102" spans="2:4" x14ac:dyDescent="0.25">
      <c r="B102" s="143" t="s">
        <v>631</v>
      </c>
      <c r="C102" s="152" t="s">
        <v>602</v>
      </c>
      <c r="D102" s="145"/>
    </row>
    <row r="103" spans="2:4" x14ac:dyDescent="0.25">
      <c r="B103" s="143" t="s">
        <v>632</v>
      </c>
      <c r="C103" s="152" t="s">
        <v>602</v>
      </c>
      <c r="D103" s="145"/>
    </row>
    <row r="104" spans="2:4" x14ac:dyDescent="0.25">
      <c r="B104" s="143" t="s">
        <v>633</v>
      </c>
      <c r="C104" s="152" t="s">
        <v>602</v>
      </c>
      <c r="D104" s="145"/>
    </row>
    <row r="105" spans="2:4" ht="25.5" x14ac:dyDescent="0.25">
      <c r="B105" s="146" t="s">
        <v>640</v>
      </c>
      <c r="C105" s="146" t="s">
        <v>602</v>
      </c>
      <c r="D105" s="151">
        <f>SUM(D95:D104)</f>
        <v>500000</v>
      </c>
    </row>
    <row r="106" spans="2:4" x14ac:dyDescent="0.25">
      <c r="B106" s="143" t="s">
        <v>623</v>
      </c>
      <c r="C106" s="152" t="s">
        <v>514</v>
      </c>
      <c r="D106" s="145"/>
    </row>
    <row r="107" spans="2:4" x14ac:dyDescent="0.25">
      <c r="B107" s="143" t="s">
        <v>625</v>
      </c>
      <c r="C107" s="152" t="s">
        <v>514</v>
      </c>
      <c r="D107" s="145"/>
    </row>
    <row r="108" spans="2:4" x14ac:dyDescent="0.25">
      <c r="B108" s="143" t="s">
        <v>636</v>
      </c>
      <c r="C108" s="152" t="s">
        <v>514</v>
      </c>
      <c r="D108" s="145"/>
    </row>
    <row r="109" spans="2:4" x14ac:dyDescent="0.25">
      <c r="B109" s="152" t="s">
        <v>627</v>
      </c>
      <c r="C109" s="152" t="s">
        <v>514</v>
      </c>
      <c r="D109" s="145"/>
    </row>
    <row r="110" spans="2:4" x14ac:dyDescent="0.25">
      <c r="B110" s="152" t="s">
        <v>628</v>
      </c>
      <c r="C110" s="152" t="s">
        <v>514</v>
      </c>
      <c r="D110" s="145"/>
    </row>
    <row r="111" spans="2:4" x14ac:dyDescent="0.25">
      <c r="B111" s="152" t="s">
        <v>629</v>
      </c>
      <c r="C111" s="152" t="s">
        <v>514</v>
      </c>
      <c r="D111" s="145"/>
    </row>
    <row r="112" spans="2:4" x14ac:dyDescent="0.25">
      <c r="B112" s="143" t="s">
        <v>630</v>
      </c>
      <c r="C112" s="152" t="s">
        <v>514</v>
      </c>
      <c r="D112" s="145"/>
    </row>
    <row r="113" spans="2:4" x14ac:dyDescent="0.25">
      <c r="B113" s="143" t="s">
        <v>637</v>
      </c>
      <c r="C113" s="152" t="s">
        <v>514</v>
      </c>
      <c r="D113" s="145"/>
    </row>
    <row r="114" spans="2:4" x14ac:dyDescent="0.25">
      <c r="B114" s="143" t="s">
        <v>632</v>
      </c>
      <c r="C114" s="152" t="s">
        <v>514</v>
      </c>
      <c r="D114" s="145"/>
    </row>
    <row r="115" spans="2:4" x14ac:dyDescent="0.25">
      <c r="B115" s="143" t="s">
        <v>633</v>
      </c>
      <c r="C115" s="152" t="s">
        <v>514</v>
      </c>
      <c r="D115" s="145"/>
    </row>
    <row r="116" spans="2:4" x14ac:dyDescent="0.25">
      <c r="B116" s="153" t="s">
        <v>641</v>
      </c>
      <c r="C116" s="147" t="s">
        <v>514</v>
      </c>
      <c r="D116" s="148">
        <v>0</v>
      </c>
    </row>
    <row r="117" spans="2:4" x14ac:dyDescent="0.25">
      <c r="D117" s="171">
        <f>SUM(D17+D28+D39+D61+D72+D83+D94+D105+D116)</f>
        <v>66818278.155579343</v>
      </c>
    </row>
    <row r="119" spans="2:4" x14ac:dyDescent="0.25">
      <c r="D119" s="150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3" max="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zoomScaleNormal="100" workbookViewId="0">
      <selection activeCell="B1" sqref="B1"/>
    </sheetView>
  </sheetViews>
  <sheetFormatPr defaultRowHeight="15" x14ac:dyDescent="0.25"/>
  <cols>
    <col min="1" max="1" width="4.28515625" style="136" customWidth="1"/>
    <col min="2" max="2" width="91.28515625" style="136" customWidth="1"/>
    <col min="3" max="3" width="10.85546875" style="136" customWidth="1"/>
    <col min="4" max="4" width="16.140625" style="136" customWidth="1"/>
    <col min="5" max="257" width="8.7109375" style="136"/>
    <col min="258" max="258" width="91.28515625" style="136" customWidth="1"/>
    <col min="259" max="259" width="10.85546875" style="136" customWidth="1"/>
    <col min="260" max="260" width="16.140625" style="136" customWidth="1"/>
    <col min="261" max="513" width="8.7109375" style="136"/>
    <col min="514" max="514" width="91.28515625" style="136" customWidth="1"/>
    <col min="515" max="515" width="10.85546875" style="136" customWidth="1"/>
    <col min="516" max="516" width="16.140625" style="136" customWidth="1"/>
    <col min="517" max="769" width="8.7109375" style="136"/>
    <col min="770" max="770" width="91.28515625" style="136" customWidth="1"/>
    <col min="771" max="771" width="10.85546875" style="136" customWidth="1"/>
    <col min="772" max="772" width="16.140625" style="136" customWidth="1"/>
    <col min="773" max="1025" width="8.7109375" style="136"/>
    <col min="1026" max="1026" width="91.28515625" style="136" customWidth="1"/>
    <col min="1027" max="1027" width="10.85546875" style="136" customWidth="1"/>
    <col min="1028" max="1028" width="16.140625" style="136" customWidth="1"/>
    <col min="1029" max="1281" width="8.7109375" style="136"/>
    <col min="1282" max="1282" width="91.28515625" style="136" customWidth="1"/>
    <col min="1283" max="1283" width="10.85546875" style="136" customWidth="1"/>
    <col min="1284" max="1284" width="16.140625" style="136" customWidth="1"/>
    <col min="1285" max="1537" width="8.7109375" style="136"/>
    <col min="1538" max="1538" width="91.28515625" style="136" customWidth="1"/>
    <col min="1539" max="1539" width="10.85546875" style="136" customWidth="1"/>
    <col min="1540" max="1540" width="16.140625" style="136" customWidth="1"/>
    <col min="1541" max="1793" width="8.7109375" style="136"/>
    <col min="1794" max="1794" width="91.28515625" style="136" customWidth="1"/>
    <col min="1795" max="1795" width="10.85546875" style="136" customWidth="1"/>
    <col min="1796" max="1796" width="16.140625" style="136" customWidth="1"/>
    <col min="1797" max="2049" width="8.7109375" style="136"/>
    <col min="2050" max="2050" width="91.28515625" style="136" customWidth="1"/>
    <col min="2051" max="2051" width="10.85546875" style="136" customWidth="1"/>
    <col min="2052" max="2052" width="16.140625" style="136" customWidth="1"/>
    <col min="2053" max="2305" width="8.7109375" style="136"/>
    <col min="2306" max="2306" width="91.28515625" style="136" customWidth="1"/>
    <col min="2307" max="2307" width="10.85546875" style="136" customWidth="1"/>
    <col min="2308" max="2308" width="16.140625" style="136" customWidth="1"/>
    <col min="2309" max="2561" width="8.7109375" style="136"/>
    <col min="2562" max="2562" width="91.28515625" style="136" customWidth="1"/>
    <col min="2563" max="2563" width="10.85546875" style="136" customWidth="1"/>
    <col min="2564" max="2564" width="16.140625" style="136" customWidth="1"/>
    <col min="2565" max="2817" width="8.7109375" style="136"/>
    <col min="2818" max="2818" width="91.28515625" style="136" customWidth="1"/>
    <col min="2819" max="2819" width="10.85546875" style="136" customWidth="1"/>
    <col min="2820" max="2820" width="16.140625" style="136" customWidth="1"/>
    <col min="2821" max="3073" width="8.7109375" style="136"/>
    <col min="3074" max="3074" width="91.28515625" style="136" customWidth="1"/>
    <col min="3075" max="3075" width="10.85546875" style="136" customWidth="1"/>
    <col min="3076" max="3076" width="16.140625" style="136" customWidth="1"/>
    <col min="3077" max="3329" width="8.7109375" style="136"/>
    <col min="3330" max="3330" width="91.28515625" style="136" customWidth="1"/>
    <col min="3331" max="3331" width="10.85546875" style="136" customWidth="1"/>
    <col min="3332" max="3332" width="16.140625" style="136" customWidth="1"/>
    <col min="3333" max="3585" width="8.7109375" style="136"/>
    <col min="3586" max="3586" width="91.28515625" style="136" customWidth="1"/>
    <col min="3587" max="3587" width="10.85546875" style="136" customWidth="1"/>
    <col min="3588" max="3588" width="16.140625" style="136" customWidth="1"/>
    <col min="3589" max="3841" width="8.7109375" style="136"/>
    <col min="3842" max="3842" width="91.28515625" style="136" customWidth="1"/>
    <col min="3843" max="3843" width="10.85546875" style="136" customWidth="1"/>
    <col min="3844" max="3844" width="16.140625" style="136" customWidth="1"/>
    <col min="3845" max="4097" width="8.7109375" style="136"/>
    <col min="4098" max="4098" width="91.28515625" style="136" customWidth="1"/>
    <col min="4099" max="4099" width="10.85546875" style="136" customWidth="1"/>
    <col min="4100" max="4100" width="16.140625" style="136" customWidth="1"/>
    <col min="4101" max="4353" width="8.7109375" style="136"/>
    <col min="4354" max="4354" width="91.28515625" style="136" customWidth="1"/>
    <col min="4355" max="4355" width="10.85546875" style="136" customWidth="1"/>
    <col min="4356" max="4356" width="16.140625" style="136" customWidth="1"/>
    <col min="4357" max="4609" width="8.7109375" style="136"/>
    <col min="4610" max="4610" width="91.28515625" style="136" customWidth="1"/>
    <col min="4611" max="4611" width="10.85546875" style="136" customWidth="1"/>
    <col min="4612" max="4612" width="16.140625" style="136" customWidth="1"/>
    <col min="4613" max="4865" width="8.7109375" style="136"/>
    <col min="4866" max="4866" width="91.28515625" style="136" customWidth="1"/>
    <col min="4867" max="4867" width="10.85546875" style="136" customWidth="1"/>
    <col min="4868" max="4868" width="16.140625" style="136" customWidth="1"/>
    <col min="4869" max="5121" width="8.7109375" style="136"/>
    <col min="5122" max="5122" width="91.28515625" style="136" customWidth="1"/>
    <col min="5123" max="5123" width="10.85546875" style="136" customWidth="1"/>
    <col min="5124" max="5124" width="16.140625" style="136" customWidth="1"/>
    <col min="5125" max="5377" width="8.7109375" style="136"/>
    <col min="5378" max="5378" width="91.28515625" style="136" customWidth="1"/>
    <col min="5379" max="5379" width="10.85546875" style="136" customWidth="1"/>
    <col min="5380" max="5380" width="16.140625" style="136" customWidth="1"/>
    <col min="5381" max="5633" width="8.7109375" style="136"/>
    <col min="5634" max="5634" width="91.28515625" style="136" customWidth="1"/>
    <col min="5635" max="5635" width="10.85546875" style="136" customWidth="1"/>
    <col min="5636" max="5636" width="16.140625" style="136" customWidth="1"/>
    <col min="5637" max="5889" width="8.7109375" style="136"/>
    <col min="5890" max="5890" width="91.28515625" style="136" customWidth="1"/>
    <col min="5891" max="5891" width="10.85546875" style="136" customWidth="1"/>
    <col min="5892" max="5892" width="16.140625" style="136" customWidth="1"/>
    <col min="5893" max="6145" width="8.7109375" style="136"/>
    <col min="6146" max="6146" width="91.28515625" style="136" customWidth="1"/>
    <col min="6147" max="6147" width="10.85546875" style="136" customWidth="1"/>
    <col min="6148" max="6148" width="16.140625" style="136" customWidth="1"/>
    <col min="6149" max="6401" width="8.7109375" style="136"/>
    <col min="6402" max="6402" width="91.28515625" style="136" customWidth="1"/>
    <col min="6403" max="6403" width="10.85546875" style="136" customWidth="1"/>
    <col min="6404" max="6404" width="16.140625" style="136" customWidth="1"/>
    <col min="6405" max="6657" width="8.7109375" style="136"/>
    <col min="6658" max="6658" width="91.28515625" style="136" customWidth="1"/>
    <col min="6659" max="6659" width="10.85546875" style="136" customWidth="1"/>
    <col min="6660" max="6660" width="16.140625" style="136" customWidth="1"/>
    <col min="6661" max="6913" width="8.7109375" style="136"/>
    <col min="6914" max="6914" width="91.28515625" style="136" customWidth="1"/>
    <col min="6915" max="6915" width="10.85546875" style="136" customWidth="1"/>
    <col min="6916" max="6916" width="16.140625" style="136" customWidth="1"/>
    <col min="6917" max="7169" width="8.7109375" style="136"/>
    <col min="7170" max="7170" width="91.28515625" style="136" customWidth="1"/>
    <col min="7171" max="7171" width="10.85546875" style="136" customWidth="1"/>
    <col min="7172" max="7172" width="16.140625" style="136" customWidth="1"/>
    <col min="7173" max="7425" width="8.7109375" style="136"/>
    <col min="7426" max="7426" width="91.28515625" style="136" customWidth="1"/>
    <col min="7427" max="7427" width="10.85546875" style="136" customWidth="1"/>
    <col min="7428" max="7428" width="16.140625" style="136" customWidth="1"/>
    <col min="7429" max="7681" width="8.7109375" style="136"/>
    <col min="7682" max="7682" width="91.28515625" style="136" customWidth="1"/>
    <col min="7683" max="7683" width="10.85546875" style="136" customWidth="1"/>
    <col min="7684" max="7684" width="16.140625" style="136" customWidth="1"/>
    <col min="7685" max="7937" width="8.7109375" style="136"/>
    <col min="7938" max="7938" width="91.28515625" style="136" customWidth="1"/>
    <col min="7939" max="7939" width="10.85546875" style="136" customWidth="1"/>
    <col min="7940" max="7940" width="16.140625" style="136" customWidth="1"/>
    <col min="7941" max="8193" width="8.7109375" style="136"/>
    <col min="8194" max="8194" width="91.28515625" style="136" customWidth="1"/>
    <col min="8195" max="8195" width="10.85546875" style="136" customWidth="1"/>
    <col min="8196" max="8196" width="16.140625" style="136" customWidth="1"/>
    <col min="8197" max="8449" width="8.7109375" style="136"/>
    <col min="8450" max="8450" width="91.28515625" style="136" customWidth="1"/>
    <col min="8451" max="8451" width="10.85546875" style="136" customWidth="1"/>
    <col min="8452" max="8452" width="16.140625" style="136" customWidth="1"/>
    <col min="8453" max="8705" width="8.7109375" style="136"/>
    <col min="8706" max="8706" width="91.28515625" style="136" customWidth="1"/>
    <col min="8707" max="8707" width="10.85546875" style="136" customWidth="1"/>
    <col min="8708" max="8708" width="16.140625" style="136" customWidth="1"/>
    <col min="8709" max="8961" width="8.7109375" style="136"/>
    <col min="8962" max="8962" width="91.28515625" style="136" customWidth="1"/>
    <col min="8963" max="8963" width="10.85546875" style="136" customWidth="1"/>
    <col min="8964" max="8964" width="16.140625" style="136" customWidth="1"/>
    <col min="8965" max="9217" width="8.7109375" style="136"/>
    <col min="9218" max="9218" width="91.28515625" style="136" customWidth="1"/>
    <col min="9219" max="9219" width="10.85546875" style="136" customWidth="1"/>
    <col min="9220" max="9220" width="16.140625" style="136" customWidth="1"/>
    <col min="9221" max="9473" width="8.7109375" style="136"/>
    <col min="9474" max="9474" width="91.28515625" style="136" customWidth="1"/>
    <col min="9475" max="9475" width="10.85546875" style="136" customWidth="1"/>
    <col min="9476" max="9476" width="16.140625" style="136" customWidth="1"/>
    <col min="9477" max="9729" width="8.7109375" style="136"/>
    <col min="9730" max="9730" width="91.28515625" style="136" customWidth="1"/>
    <col min="9731" max="9731" width="10.85546875" style="136" customWidth="1"/>
    <col min="9732" max="9732" width="16.140625" style="136" customWidth="1"/>
    <col min="9733" max="9985" width="8.7109375" style="136"/>
    <col min="9986" max="9986" width="91.28515625" style="136" customWidth="1"/>
    <col min="9987" max="9987" width="10.85546875" style="136" customWidth="1"/>
    <col min="9988" max="9988" width="16.140625" style="136" customWidth="1"/>
    <col min="9989" max="10241" width="8.7109375" style="136"/>
    <col min="10242" max="10242" width="91.28515625" style="136" customWidth="1"/>
    <col min="10243" max="10243" width="10.85546875" style="136" customWidth="1"/>
    <col min="10244" max="10244" width="16.140625" style="136" customWidth="1"/>
    <col min="10245" max="10497" width="8.7109375" style="136"/>
    <col min="10498" max="10498" width="91.28515625" style="136" customWidth="1"/>
    <col min="10499" max="10499" width="10.85546875" style="136" customWidth="1"/>
    <col min="10500" max="10500" width="16.140625" style="136" customWidth="1"/>
    <col min="10501" max="10753" width="8.7109375" style="136"/>
    <col min="10754" max="10754" width="91.28515625" style="136" customWidth="1"/>
    <col min="10755" max="10755" width="10.85546875" style="136" customWidth="1"/>
    <col min="10756" max="10756" width="16.140625" style="136" customWidth="1"/>
    <col min="10757" max="11009" width="8.7109375" style="136"/>
    <col min="11010" max="11010" width="91.28515625" style="136" customWidth="1"/>
    <col min="11011" max="11011" width="10.85546875" style="136" customWidth="1"/>
    <col min="11012" max="11012" width="16.140625" style="136" customWidth="1"/>
    <col min="11013" max="11265" width="8.7109375" style="136"/>
    <col min="11266" max="11266" width="91.28515625" style="136" customWidth="1"/>
    <col min="11267" max="11267" width="10.85546875" style="136" customWidth="1"/>
    <col min="11268" max="11268" width="16.140625" style="136" customWidth="1"/>
    <col min="11269" max="11521" width="8.7109375" style="136"/>
    <col min="11522" max="11522" width="91.28515625" style="136" customWidth="1"/>
    <col min="11523" max="11523" width="10.85546875" style="136" customWidth="1"/>
    <col min="11524" max="11524" width="16.140625" style="136" customWidth="1"/>
    <col min="11525" max="11777" width="8.7109375" style="136"/>
    <col min="11778" max="11778" width="91.28515625" style="136" customWidth="1"/>
    <col min="11779" max="11779" width="10.85546875" style="136" customWidth="1"/>
    <col min="11780" max="11780" width="16.140625" style="136" customWidth="1"/>
    <col min="11781" max="12033" width="8.7109375" style="136"/>
    <col min="12034" max="12034" width="91.28515625" style="136" customWidth="1"/>
    <col min="12035" max="12035" width="10.85546875" style="136" customWidth="1"/>
    <col min="12036" max="12036" width="16.140625" style="136" customWidth="1"/>
    <col min="12037" max="12289" width="8.7109375" style="136"/>
    <col min="12290" max="12290" width="91.28515625" style="136" customWidth="1"/>
    <col min="12291" max="12291" width="10.85546875" style="136" customWidth="1"/>
    <col min="12292" max="12292" width="16.140625" style="136" customWidth="1"/>
    <col min="12293" max="12545" width="8.7109375" style="136"/>
    <col min="12546" max="12546" width="91.28515625" style="136" customWidth="1"/>
    <col min="12547" max="12547" width="10.85546875" style="136" customWidth="1"/>
    <col min="12548" max="12548" width="16.140625" style="136" customWidth="1"/>
    <col min="12549" max="12801" width="8.7109375" style="136"/>
    <col min="12802" max="12802" width="91.28515625" style="136" customWidth="1"/>
    <col min="12803" max="12803" width="10.85546875" style="136" customWidth="1"/>
    <col min="12804" max="12804" width="16.140625" style="136" customWidth="1"/>
    <col min="12805" max="13057" width="8.7109375" style="136"/>
    <col min="13058" max="13058" width="91.28515625" style="136" customWidth="1"/>
    <col min="13059" max="13059" width="10.85546875" style="136" customWidth="1"/>
    <col min="13060" max="13060" width="16.140625" style="136" customWidth="1"/>
    <col min="13061" max="13313" width="8.7109375" style="136"/>
    <col min="13314" max="13314" width="91.28515625" style="136" customWidth="1"/>
    <col min="13315" max="13315" width="10.85546875" style="136" customWidth="1"/>
    <col min="13316" max="13316" width="16.140625" style="136" customWidth="1"/>
    <col min="13317" max="13569" width="8.7109375" style="136"/>
    <col min="13570" max="13570" width="91.28515625" style="136" customWidth="1"/>
    <col min="13571" max="13571" width="10.85546875" style="136" customWidth="1"/>
    <col min="13572" max="13572" width="16.140625" style="136" customWidth="1"/>
    <col min="13573" max="13825" width="8.7109375" style="136"/>
    <col min="13826" max="13826" width="91.28515625" style="136" customWidth="1"/>
    <col min="13827" max="13827" width="10.85546875" style="136" customWidth="1"/>
    <col min="13828" max="13828" width="16.140625" style="136" customWidth="1"/>
    <col min="13829" max="14081" width="8.7109375" style="136"/>
    <col min="14082" max="14082" width="91.28515625" style="136" customWidth="1"/>
    <col min="14083" max="14083" width="10.85546875" style="136" customWidth="1"/>
    <col min="14084" max="14084" width="16.140625" style="136" customWidth="1"/>
    <col min="14085" max="14337" width="8.7109375" style="136"/>
    <col min="14338" max="14338" width="91.28515625" style="136" customWidth="1"/>
    <col min="14339" max="14339" width="10.85546875" style="136" customWidth="1"/>
    <col min="14340" max="14340" width="16.140625" style="136" customWidth="1"/>
    <col min="14341" max="14593" width="8.7109375" style="136"/>
    <col min="14594" max="14594" width="91.28515625" style="136" customWidth="1"/>
    <col min="14595" max="14595" width="10.85546875" style="136" customWidth="1"/>
    <col min="14596" max="14596" width="16.140625" style="136" customWidth="1"/>
    <col min="14597" max="14849" width="8.7109375" style="136"/>
    <col min="14850" max="14850" width="91.28515625" style="136" customWidth="1"/>
    <col min="14851" max="14851" width="10.85546875" style="136" customWidth="1"/>
    <col min="14852" max="14852" width="16.140625" style="136" customWidth="1"/>
    <col min="14853" max="15105" width="8.7109375" style="136"/>
    <col min="15106" max="15106" width="91.28515625" style="136" customWidth="1"/>
    <col min="15107" max="15107" width="10.85546875" style="136" customWidth="1"/>
    <col min="15108" max="15108" width="16.140625" style="136" customWidth="1"/>
    <col min="15109" max="15361" width="8.7109375" style="136"/>
    <col min="15362" max="15362" width="91.28515625" style="136" customWidth="1"/>
    <col min="15363" max="15363" width="10.85546875" style="136" customWidth="1"/>
    <col min="15364" max="15364" width="16.140625" style="136" customWidth="1"/>
    <col min="15365" max="15617" width="8.7109375" style="136"/>
    <col min="15618" max="15618" width="91.28515625" style="136" customWidth="1"/>
    <col min="15619" max="15619" width="10.85546875" style="136" customWidth="1"/>
    <col min="15620" max="15620" width="16.140625" style="136" customWidth="1"/>
    <col min="15621" max="15873" width="8.7109375" style="136"/>
    <col min="15874" max="15874" width="91.28515625" style="136" customWidth="1"/>
    <col min="15875" max="15875" width="10.85546875" style="136" customWidth="1"/>
    <col min="15876" max="15876" width="16.140625" style="136" customWidth="1"/>
    <col min="15877" max="16129" width="8.7109375" style="136"/>
    <col min="16130" max="16130" width="91.28515625" style="136" customWidth="1"/>
    <col min="16131" max="16131" width="10.85546875" style="136" customWidth="1"/>
    <col min="16132" max="16132" width="16.140625" style="136" customWidth="1"/>
    <col min="16133" max="16384" width="8.7109375" style="136"/>
  </cols>
  <sheetData>
    <row r="1" spans="1:4" x14ac:dyDescent="0.25">
      <c r="A1" s="135" t="s">
        <v>645</v>
      </c>
      <c r="B1" s="678" t="str">
        <f>'Bevételek ÖNK'!B1</f>
        <v>melléklet a 4/2021.(III.08.) önkormányzati rendelethez</v>
      </c>
    </row>
    <row r="2" spans="1:4" ht="27" customHeight="1" x14ac:dyDescent="0.25">
      <c r="B2" s="794" t="str">
        <f>'Kiemelt EI.'!B2:C2</f>
        <v>Az önkormányzat 2022.évi költségvetése</v>
      </c>
      <c r="C2" s="796"/>
      <c r="D2" s="796"/>
    </row>
    <row r="3" spans="1:4" ht="27" customHeight="1" x14ac:dyDescent="0.25">
      <c r="B3" s="795" t="s">
        <v>646</v>
      </c>
      <c r="C3" s="796"/>
      <c r="D3" s="796"/>
    </row>
    <row r="4" spans="1:4" ht="19.5" customHeight="1" x14ac:dyDescent="0.25">
      <c r="B4" s="137"/>
      <c r="C4" s="138"/>
      <c r="D4" s="138"/>
    </row>
    <row r="5" spans="1:4" x14ac:dyDescent="0.25">
      <c r="B5" s="139" t="s">
        <v>595</v>
      </c>
    </row>
    <row r="6" spans="1:4" ht="25.5" x14ac:dyDescent="0.25">
      <c r="B6" s="140" t="s">
        <v>130</v>
      </c>
      <c r="C6" s="141" t="s">
        <v>190</v>
      </c>
      <c r="D6" s="142" t="s">
        <v>606</v>
      </c>
    </row>
    <row r="7" spans="1:4" x14ac:dyDescent="0.25">
      <c r="B7" s="143" t="s">
        <v>647</v>
      </c>
      <c r="C7" s="144" t="s">
        <v>290</v>
      </c>
      <c r="D7" s="149"/>
    </row>
    <row r="8" spans="1:4" x14ac:dyDescent="0.25">
      <c r="B8" s="143" t="s">
        <v>648</v>
      </c>
      <c r="C8" s="144" t="s">
        <v>290</v>
      </c>
      <c r="D8" s="149"/>
    </row>
    <row r="9" spans="1:4" x14ac:dyDescent="0.25">
      <c r="B9" s="143" t="s">
        <v>649</v>
      </c>
      <c r="C9" s="144" t="s">
        <v>290</v>
      </c>
      <c r="D9" s="149"/>
    </row>
    <row r="10" spans="1:4" x14ac:dyDescent="0.25">
      <c r="B10" s="143" t="s">
        <v>650</v>
      </c>
      <c r="C10" s="144" t="s">
        <v>290</v>
      </c>
      <c r="D10" s="149"/>
    </row>
    <row r="11" spans="1:4" x14ac:dyDescent="0.25">
      <c r="B11" s="143" t="s">
        <v>651</v>
      </c>
      <c r="C11" s="144" t="s">
        <v>290</v>
      </c>
      <c r="D11" s="149"/>
    </row>
    <row r="12" spans="1:4" x14ac:dyDescent="0.25">
      <c r="B12" s="143" t="s">
        <v>652</v>
      </c>
      <c r="C12" s="144" t="s">
        <v>290</v>
      </c>
      <c r="D12" s="149"/>
    </row>
    <row r="13" spans="1:4" x14ac:dyDescent="0.25">
      <c r="B13" s="143" t="s">
        <v>653</v>
      </c>
      <c r="C13" s="144" t="s">
        <v>290</v>
      </c>
      <c r="D13" s="149"/>
    </row>
    <row r="14" spans="1:4" x14ac:dyDescent="0.25">
      <c r="B14" s="143" t="s">
        <v>654</v>
      </c>
      <c r="C14" s="144" t="s">
        <v>290</v>
      </c>
      <c r="D14" s="149"/>
    </row>
    <row r="15" spans="1:4" x14ac:dyDescent="0.25">
      <c r="B15" s="143" t="s">
        <v>655</v>
      </c>
      <c r="C15" s="144" t="s">
        <v>290</v>
      </c>
      <c r="D15" s="149"/>
    </row>
    <row r="16" spans="1:4" x14ac:dyDescent="0.25">
      <c r="B16" s="143" t="s">
        <v>656</v>
      </c>
      <c r="C16" s="144" t="s">
        <v>290</v>
      </c>
      <c r="D16" s="149"/>
    </row>
    <row r="17" spans="2:4" ht="25.5" x14ac:dyDescent="0.25">
      <c r="B17" s="155" t="s">
        <v>289</v>
      </c>
      <c r="C17" s="147" t="s">
        <v>290</v>
      </c>
      <c r="D17" s="151">
        <f>SUM(D7:D16)</f>
        <v>0</v>
      </c>
    </row>
    <row r="18" spans="2:4" x14ac:dyDescent="0.25">
      <c r="B18" s="143" t="s">
        <v>647</v>
      </c>
      <c r="C18" s="144" t="s">
        <v>292</v>
      </c>
      <c r="D18" s="149"/>
    </row>
    <row r="19" spans="2:4" x14ac:dyDescent="0.25">
      <c r="B19" s="143" t="s">
        <v>648</v>
      </c>
      <c r="C19" s="144" t="s">
        <v>292</v>
      </c>
      <c r="D19" s="149"/>
    </row>
    <row r="20" spans="2:4" x14ac:dyDescent="0.25">
      <c r="B20" s="143" t="s">
        <v>649</v>
      </c>
      <c r="C20" s="144" t="s">
        <v>292</v>
      </c>
      <c r="D20" s="149"/>
    </row>
    <row r="21" spans="2:4" x14ac:dyDescent="0.25">
      <c r="B21" s="143" t="s">
        <v>650</v>
      </c>
      <c r="C21" s="144" t="s">
        <v>292</v>
      </c>
      <c r="D21" s="149"/>
    </row>
    <row r="22" spans="2:4" x14ac:dyDescent="0.25">
      <c r="B22" s="143" t="s">
        <v>651</v>
      </c>
      <c r="C22" s="144" t="s">
        <v>292</v>
      </c>
      <c r="D22" s="149"/>
    </row>
    <row r="23" spans="2:4" x14ac:dyDescent="0.25">
      <c r="B23" s="143" t="s">
        <v>652</v>
      </c>
      <c r="C23" s="144" t="s">
        <v>292</v>
      </c>
      <c r="D23" s="149"/>
    </row>
    <row r="24" spans="2:4" x14ac:dyDescent="0.25">
      <c r="B24" s="143" t="s">
        <v>653</v>
      </c>
      <c r="C24" s="144" t="s">
        <v>292</v>
      </c>
      <c r="D24" s="149"/>
    </row>
    <row r="25" spans="2:4" x14ac:dyDescent="0.25">
      <c r="B25" s="143" t="s">
        <v>654</v>
      </c>
      <c r="C25" s="144" t="s">
        <v>292</v>
      </c>
      <c r="D25" s="149"/>
    </row>
    <row r="26" spans="2:4" x14ac:dyDescent="0.25">
      <c r="B26" s="143" t="s">
        <v>655</v>
      </c>
      <c r="C26" s="144" t="s">
        <v>292</v>
      </c>
      <c r="D26" s="149"/>
    </row>
    <row r="27" spans="2:4" x14ac:dyDescent="0.25">
      <c r="B27" s="143" t="s">
        <v>656</v>
      </c>
      <c r="C27" s="144" t="s">
        <v>292</v>
      </c>
      <c r="D27" s="149"/>
    </row>
    <row r="28" spans="2:4" ht="25.5" x14ac:dyDescent="0.25">
      <c r="B28" s="155" t="s">
        <v>657</v>
      </c>
      <c r="C28" s="147" t="s">
        <v>292</v>
      </c>
      <c r="D28" s="151">
        <f>SUM(D18:D27)</f>
        <v>0</v>
      </c>
    </row>
    <row r="29" spans="2:4" x14ac:dyDescent="0.25">
      <c r="B29" s="143" t="s">
        <v>647</v>
      </c>
      <c r="C29" s="144" t="s">
        <v>294</v>
      </c>
      <c r="D29" s="149"/>
    </row>
    <row r="30" spans="2:4" x14ac:dyDescent="0.25">
      <c r="B30" s="143" t="s">
        <v>648</v>
      </c>
      <c r="C30" s="144" t="s">
        <v>294</v>
      </c>
      <c r="D30" s="149"/>
    </row>
    <row r="31" spans="2:4" x14ac:dyDescent="0.25">
      <c r="B31" s="143" t="s">
        <v>649</v>
      </c>
      <c r="C31" s="144" t="s">
        <v>294</v>
      </c>
      <c r="D31" s="149"/>
    </row>
    <row r="32" spans="2:4" x14ac:dyDescent="0.25">
      <c r="B32" s="143" t="s">
        <v>650</v>
      </c>
      <c r="C32" s="144" t="s">
        <v>294</v>
      </c>
      <c r="D32" s="149"/>
    </row>
    <row r="33" spans="2:4" x14ac:dyDescent="0.25">
      <c r="B33" s="143" t="s">
        <v>651</v>
      </c>
      <c r="C33" s="144" t="s">
        <v>294</v>
      </c>
      <c r="D33" s="149"/>
    </row>
    <row r="34" spans="2:4" x14ac:dyDescent="0.25">
      <c r="B34" s="143" t="s">
        <v>652</v>
      </c>
      <c r="C34" s="144" t="s">
        <v>294</v>
      </c>
      <c r="D34" s="149"/>
    </row>
    <row r="35" spans="2:4" x14ac:dyDescent="0.25">
      <c r="B35" s="143" t="s">
        <v>1407</v>
      </c>
      <c r="C35" s="144" t="s">
        <v>294</v>
      </c>
      <c r="D35" s="149"/>
    </row>
    <row r="36" spans="2:4" x14ac:dyDescent="0.25">
      <c r="B36" s="143" t="s">
        <v>680</v>
      </c>
      <c r="C36" s="144" t="s">
        <v>294</v>
      </c>
      <c r="D36" s="149">
        <f>SUM('ÖNK kiadás cofogra'!D190+'ÖNK kiadás cofogra'!D191+'ÖNK kiadás cofogra'!D192)</f>
        <v>3738000</v>
      </c>
    </row>
    <row r="37" spans="2:4" x14ac:dyDescent="0.25">
      <c r="B37" s="143" t="s">
        <v>655</v>
      </c>
      <c r="C37" s="144" t="s">
        <v>294</v>
      </c>
      <c r="D37" s="149"/>
    </row>
    <row r="38" spans="2:4" x14ac:dyDescent="0.25">
      <c r="B38" s="143" t="s">
        <v>656</v>
      </c>
      <c r="C38" s="144" t="s">
        <v>294</v>
      </c>
      <c r="D38" s="149"/>
    </row>
    <row r="39" spans="2:4" x14ac:dyDescent="0.25">
      <c r="B39" s="155" t="s">
        <v>293</v>
      </c>
      <c r="C39" s="147" t="s">
        <v>294</v>
      </c>
      <c r="D39" s="151">
        <f>SUM(D29:D38)</f>
        <v>3738000</v>
      </c>
    </row>
    <row r="40" spans="2:4" x14ac:dyDescent="0.25">
      <c r="B40" s="143" t="s">
        <v>658</v>
      </c>
      <c r="C40" s="152" t="s">
        <v>298</v>
      </c>
      <c r="D40" s="149"/>
    </row>
    <row r="41" spans="2:4" x14ac:dyDescent="0.25">
      <c r="B41" s="143" t="s">
        <v>659</v>
      </c>
      <c r="C41" s="152" t="s">
        <v>298</v>
      </c>
      <c r="D41" s="149"/>
    </row>
    <row r="42" spans="2:4" x14ac:dyDescent="0.25">
      <c r="B42" s="143" t="s">
        <v>679</v>
      </c>
      <c r="C42" s="152" t="s">
        <v>298</v>
      </c>
      <c r="D42" s="149">
        <v>0</v>
      </c>
    </row>
    <row r="43" spans="2:4" x14ac:dyDescent="0.25">
      <c r="B43" s="152" t="s">
        <v>661</v>
      </c>
      <c r="C43" s="152" t="s">
        <v>298</v>
      </c>
      <c r="D43" s="149"/>
    </row>
    <row r="44" spans="2:4" x14ac:dyDescent="0.25">
      <c r="B44" s="152" t="s">
        <v>662</v>
      </c>
      <c r="C44" s="152" t="s">
        <v>298</v>
      </c>
      <c r="D44" s="149"/>
    </row>
    <row r="45" spans="2:4" x14ac:dyDescent="0.25">
      <c r="B45" s="152" t="s">
        <v>663</v>
      </c>
      <c r="C45" s="152" t="s">
        <v>298</v>
      </c>
      <c r="D45" s="149"/>
    </row>
    <row r="46" spans="2:4" x14ac:dyDescent="0.25">
      <c r="B46" s="143" t="s">
        <v>664</v>
      </c>
      <c r="C46" s="152" t="s">
        <v>298</v>
      </c>
      <c r="D46" s="149"/>
    </row>
    <row r="47" spans="2:4" x14ac:dyDescent="0.25">
      <c r="B47" s="143" t="s">
        <v>665</v>
      </c>
      <c r="C47" s="152" t="s">
        <v>298</v>
      </c>
      <c r="D47" s="149"/>
    </row>
    <row r="48" spans="2:4" x14ac:dyDescent="0.25">
      <c r="B48" s="143" t="s">
        <v>666</v>
      </c>
      <c r="C48" s="152" t="s">
        <v>298</v>
      </c>
      <c r="D48" s="149"/>
    </row>
    <row r="49" spans="2:4" x14ac:dyDescent="0.25">
      <c r="B49" s="143" t="s">
        <v>667</v>
      </c>
      <c r="C49" s="152" t="s">
        <v>298</v>
      </c>
      <c r="D49" s="149"/>
    </row>
    <row r="50" spans="2:4" ht="25.5" x14ac:dyDescent="0.25">
      <c r="B50" s="155" t="s">
        <v>668</v>
      </c>
      <c r="C50" s="147" t="s">
        <v>298</v>
      </c>
      <c r="D50" s="151">
        <f>SUM(D40:D49)</f>
        <v>0</v>
      </c>
    </row>
    <row r="51" spans="2:4" x14ac:dyDescent="0.25">
      <c r="B51" s="143" t="s">
        <v>678</v>
      </c>
      <c r="C51" s="152" t="s">
        <v>306</v>
      </c>
      <c r="D51" s="149">
        <f>SUM('ÖNK kiadás cofogra'!E710)</f>
        <v>10240000</v>
      </c>
    </row>
    <row r="52" spans="2:4" x14ac:dyDescent="0.25">
      <c r="B52" s="143" t="s">
        <v>1408</v>
      </c>
      <c r="C52" s="152" t="s">
        <v>306</v>
      </c>
      <c r="D52" s="149">
        <v>0</v>
      </c>
    </row>
    <row r="53" spans="2:4" x14ac:dyDescent="0.25">
      <c r="B53" s="143" t="s">
        <v>681</v>
      </c>
      <c r="C53" s="152" t="s">
        <v>306</v>
      </c>
      <c r="D53" s="149">
        <f>SUM('ÖNK kiadás cofogra'!D697+'ÖNK kiadás cofogra'!E195)</f>
        <v>1304000</v>
      </c>
    </row>
    <row r="54" spans="2:4" x14ac:dyDescent="0.25">
      <c r="B54" s="143" t="s">
        <v>660</v>
      </c>
      <c r="C54" s="152" t="s">
        <v>306</v>
      </c>
      <c r="D54" s="149"/>
    </row>
    <row r="55" spans="2:4" x14ac:dyDescent="0.25">
      <c r="B55" s="152" t="s">
        <v>669</v>
      </c>
      <c r="C55" s="152" t="s">
        <v>306</v>
      </c>
      <c r="D55" s="145"/>
    </row>
    <row r="56" spans="2:4" x14ac:dyDescent="0.25">
      <c r="B56" s="152" t="s">
        <v>662</v>
      </c>
      <c r="C56" s="152" t="s">
        <v>306</v>
      </c>
      <c r="D56" s="149"/>
    </row>
    <row r="57" spans="2:4" x14ac:dyDescent="0.25">
      <c r="B57" s="152" t="s">
        <v>663</v>
      </c>
      <c r="C57" s="152" t="s">
        <v>306</v>
      </c>
      <c r="D57" s="149"/>
    </row>
    <row r="58" spans="2:4" x14ac:dyDescent="0.25">
      <c r="B58" s="143" t="s">
        <v>670</v>
      </c>
      <c r="C58" s="152" t="s">
        <v>306</v>
      </c>
      <c r="D58" s="149"/>
    </row>
    <row r="59" spans="2:4" x14ac:dyDescent="0.25">
      <c r="B59" s="143" t="s">
        <v>671</v>
      </c>
      <c r="C59" s="152" t="s">
        <v>306</v>
      </c>
      <c r="D59" s="149"/>
    </row>
    <row r="60" spans="2:4" x14ac:dyDescent="0.25">
      <c r="B60" s="143" t="s">
        <v>666</v>
      </c>
      <c r="C60" s="152" t="s">
        <v>306</v>
      </c>
      <c r="D60" s="149"/>
    </row>
    <row r="61" spans="2:4" x14ac:dyDescent="0.25">
      <c r="B61" s="143" t="s">
        <v>667</v>
      </c>
      <c r="C61" s="152" t="s">
        <v>306</v>
      </c>
      <c r="D61" s="149"/>
    </row>
    <row r="62" spans="2:4" x14ac:dyDescent="0.25">
      <c r="B62" s="153" t="s">
        <v>672</v>
      </c>
      <c r="C62" s="146" t="s">
        <v>306</v>
      </c>
      <c r="D62" s="151">
        <f>SUM(D51:D61)</f>
        <v>11544000</v>
      </c>
    </row>
    <row r="63" spans="2:4" x14ac:dyDescent="0.25">
      <c r="B63" s="143" t="s">
        <v>647</v>
      </c>
      <c r="C63" s="144" t="s">
        <v>336</v>
      </c>
      <c r="D63" s="149"/>
    </row>
    <row r="64" spans="2:4" x14ac:dyDescent="0.25">
      <c r="B64" s="143" t="s">
        <v>648</v>
      </c>
      <c r="C64" s="144" t="s">
        <v>336</v>
      </c>
      <c r="D64" s="149"/>
    </row>
    <row r="65" spans="2:4" x14ac:dyDescent="0.25">
      <c r="B65" s="143" t="s">
        <v>649</v>
      </c>
      <c r="C65" s="144" t="s">
        <v>336</v>
      </c>
      <c r="D65" s="149"/>
    </row>
    <row r="66" spans="2:4" x14ac:dyDescent="0.25">
      <c r="B66" s="143" t="s">
        <v>650</v>
      </c>
      <c r="C66" s="144" t="s">
        <v>336</v>
      </c>
      <c r="D66" s="149"/>
    </row>
    <row r="67" spans="2:4" x14ac:dyDescent="0.25">
      <c r="B67" s="143" t="s">
        <v>651</v>
      </c>
      <c r="C67" s="144" t="s">
        <v>336</v>
      </c>
      <c r="D67" s="149"/>
    </row>
    <row r="68" spans="2:4" x14ac:dyDescent="0.25">
      <c r="B68" s="143" t="s">
        <v>652</v>
      </c>
      <c r="C68" s="144" t="s">
        <v>336</v>
      </c>
      <c r="D68" s="149"/>
    </row>
    <row r="69" spans="2:4" x14ac:dyDescent="0.25">
      <c r="B69" s="143" t="s">
        <v>653</v>
      </c>
      <c r="C69" s="144" t="s">
        <v>336</v>
      </c>
      <c r="D69" s="149"/>
    </row>
    <row r="70" spans="2:4" x14ac:dyDescent="0.25">
      <c r="B70" s="143" t="s">
        <v>654</v>
      </c>
      <c r="C70" s="144" t="s">
        <v>336</v>
      </c>
      <c r="D70" s="149"/>
    </row>
    <row r="71" spans="2:4" x14ac:dyDescent="0.25">
      <c r="B71" s="143" t="s">
        <v>655</v>
      </c>
      <c r="C71" s="144" t="s">
        <v>336</v>
      </c>
      <c r="D71" s="149"/>
    </row>
    <row r="72" spans="2:4" x14ac:dyDescent="0.25">
      <c r="B72" s="143" t="s">
        <v>656</v>
      </c>
      <c r="C72" s="144" t="s">
        <v>336</v>
      </c>
      <c r="D72" s="149"/>
    </row>
    <row r="73" spans="2:4" ht="25.5" x14ac:dyDescent="0.25">
      <c r="B73" s="155" t="s">
        <v>673</v>
      </c>
      <c r="C73" s="147" t="s">
        <v>336</v>
      </c>
      <c r="D73" s="151">
        <f>SUM(D63:D72)</f>
        <v>0</v>
      </c>
    </row>
    <row r="74" spans="2:4" x14ac:dyDescent="0.25">
      <c r="B74" s="143" t="s">
        <v>647</v>
      </c>
      <c r="C74" s="144" t="s">
        <v>338</v>
      </c>
      <c r="D74" s="149"/>
    </row>
    <row r="75" spans="2:4" x14ac:dyDescent="0.25">
      <c r="B75" s="143" t="s">
        <v>648</v>
      </c>
      <c r="C75" s="144" t="s">
        <v>338</v>
      </c>
      <c r="D75" s="149"/>
    </row>
    <row r="76" spans="2:4" x14ac:dyDescent="0.25">
      <c r="B76" s="143" t="s">
        <v>649</v>
      </c>
      <c r="C76" s="144" t="s">
        <v>338</v>
      </c>
      <c r="D76" s="149"/>
    </row>
    <row r="77" spans="2:4" x14ac:dyDescent="0.25">
      <c r="B77" s="143" t="s">
        <v>650</v>
      </c>
      <c r="C77" s="144" t="s">
        <v>338</v>
      </c>
      <c r="D77" s="149"/>
    </row>
    <row r="78" spans="2:4" x14ac:dyDescent="0.25">
      <c r="B78" s="143" t="s">
        <v>651</v>
      </c>
      <c r="C78" s="144" t="s">
        <v>338</v>
      </c>
      <c r="D78" s="149"/>
    </row>
    <row r="79" spans="2:4" x14ac:dyDescent="0.25">
      <c r="B79" s="143" t="s">
        <v>652</v>
      </c>
      <c r="C79" s="144" t="s">
        <v>338</v>
      </c>
      <c r="D79" s="149"/>
    </row>
    <row r="80" spans="2:4" x14ac:dyDescent="0.25">
      <c r="B80" s="143" t="s">
        <v>653</v>
      </c>
      <c r="C80" s="144" t="s">
        <v>338</v>
      </c>
      <c r="D80" s="149"/>
    </row>
    <row r="81" spans="2:4" x14ac:dyDescent="0.25">
      <c r="B81" s="143" t="s">
        <v>654</v>
      </c>
      <c r="C81" s="144" t="s">
        <v>338</v>
      </c>
      <c r="D81" s="149"/>
    </row>
    <row r="82" spans="2:4" x14ac:dyDescent="0.25">
      <c r="B82" s="143" t="s">
        <v>655</v>
      </c>
      <c r="C82" s="144" t="s">
        <v>338</v>
      </c>
      <c r="D82" s="149"/>
    </row>
    <row r="83" spans="2:4" x14ac:dyDescent="0.25">
      <c r="B83" s="143" t="s">
        <v>656</v>
      </c>
      <c r="C83" s="144" t="s">
        <v>338</v>
      </c>
      <c r="D83" s="149"/>
    </row>
    <row r="84" spans="2:4" ht="25.5" x14ac:dyDescent="0.25">
      <c r="B84" s="155" t="s">
        <v>674</v>
      </c>
      <c r="C84" s="147" t="s">
        <v>338</v>
      </c>
      <c r="D84" s="149"/>
    </row>
    <row r="85" spans="2:4" x14ac:dyDescent="0.25">
      <c r="B85" s="143" t="s">
        <v>647</v>
      </c>
      <c r="C85" s="144" t="s">
        <v>340</v>
      </c>
      <c r="D85" s="149"/>
    </row>
    <row r="86" spans="2:4" x14ac:dyDescent="0.25">
      <c r="B86" s="143" t="s">
        <v>648</v>
      </c>
      <c r="C86" s="144" t="s">
        <v>340</v>
      </c>
      <c r="D86" s="149"/>
    </row>
    <row r="87" spans="2:4" x14ac:dyDescent="0.25">
      <c r="B87" s="143" t="s">
        <v>649</v>
      </c>
      <c r="C87" s="144" t="s">
        <v>340</v>
      </c>
      <c r="D87" s="149"/>
    </row>
    <row r="88" spans="2:4" x14ac:dyDescent="0.25">
      <c r="B88" s="143" t="s">
        <v>650</v>
      </c>
      <c r="C88" s="144" t="s">
        <v>340</v>
      </c>
      <c r="D88" s="149"/>
    </row>
    <row r="89" spans="2:4" x14ac:dyDescent="0.25">
      <c r="B89" s="143" t="s">
        <v>651</v>
      </c>
      <c r="C89" s="144" t="s">
        <v>340</v>
      </c>
      <c r="D89" s="149"/>
    </row>
    <row r="90" spans="2:4" x14ac:dyDescent="0.25">
      <c r="B90" s="143" t="s">
        <v>652</v>
      </c>
      <c r="C90" s="144" t="s">
        <v>340</v>
      </c>
      <c r="D90" s="149"/>
    </row>
    <row r="91" spans="2:4" x14ac:dyDescent="0.25">
      <c r="B91" s="143" t="s">
        <v>653</v>
      </c>
      <c r="C91" s="144" t="s">
        <v>340</v>
      </c>
      <c r="D91" s="149"/>
    </row>
    <row r="92" spans="2:4" x14ac:dyDescent="0.25">
      <c r="B92" s="143" t="s">
        <v>654</v>
      </c>
      <c r="C92" s="144" t="s">
        <v>340</v>
      </c>
      <c r="D92" s="149"/>
    </row>
    <row r="93" spans="2:4" x14ac:dyDescent="0.25">
      <c r="B93" s="143" t="s">
        <v>655</v>
      </c>
      <c r="C93" s="144" t="s">
        <v>340</v>
      </c>
      <c r="D93" s="149"/>
    </row>
    <row r="94" spans="2:4" x14ac:dyDescent="0.25">
      <c r="B94" s="143" t="s">
        <v>656</v>
      </c>
      <c r="C94" s="144" t="s">
        <v>340</v>
      </c>
      <c r="D94" s="149"/>
    </row>
    <row r="95" spans="2:4" x14ac:dyDescent="0.25">
      <c r="B95" s="155" t="s">
        <v>675</v>
      </c>
      <c r="C95" s="147" t="s">
        <v>340</v>
      </c>
      <c r="D95" s="149"/>
    </row>
    <row r="96" spans="2:4" x14ac:dyDescent="0.25">
      <c r="B96" s="143" t="s">
        <v>658</v>
      </c>
      <c r="C96" s="152" t="s">
        <v>344</v>
      </c>
      <c r="D96" s="149"/>
    </row>
    <row r="97" spans="2:4" x14ac:dyDescent="0.25">
      <c r="B97" s="143" t="s">
        <v>659</v>
      </c>
      <c r="C97" s="144" t="s">
        <v>344</v>
      </c>
      <c r="D97" s="149"/>
    </row>
    <row r="98" spans="2:4" x14ac:dyDescent="0.25">
      <c r="B98" s="143" t="s">
        <v>676</v>
      </c>
      <c r="C98" s="152" t="s">
        <v>344</v>
      </c>
      <c r="D98" s="149"/>
    </row>
    <row r="99" spans="2:4" x14ac:dyDescent="0.25">
      <c r="B99" s="152" t="s">
        <v>661</v>
      </c>
      <c r="C99" s="144" t="s">
        <v>344</v>
      </c>
      <c r="D99" s="149"/>
    </row>
    <row r="100" spans="2:4" x14ac:dyDescent="0.25">
      <c r="B100" s="152" t="s">
        <v>662</v>
      </c>
      <c r="C100" s="152" t="s">
        <v>344</v>
      </c>
      <c r="D100" s="149"/>
    </row>
    <row r="101" spans="2:4" x14ac:dyDescent="0.25">
      <c r="B101" s="152" t="s">
        <v>663</v>
      </c>
      <c r="C101" s="144" t="s">
        <v>344</v>
      </c>
      <c r="D101" s="149"/>
    </row>
    <row r="102" spans="2:4" x14ac:dyDescent="0.25">
      <c r="B102" s="143" t="s">
        <v>664</v>
      </c>
      <c r="C102" s="152" t="s">
        <v>344</v>
      </c>
      <c r="D102" s="149"/>
    </row>
    <row r="103" spans="2:4" x14ac:dyDescent="0.25">
      <c r="B103" s="143" t="s">
        <v>671</v>
      </c>
      <c r="C103" s="144" t="s">
        <v>344</v>
      </c>
      <c r="D103" s="149"/>
    </row>
    <row r="104" spans="2:4" x14ac:dyDescent="0.25">
      <c r="B104" s="143" t="s">
        <v>666</v>
      </c>
      <c r="C104" s="152" t="s">
        <v>344</v>
      </c>
      <c r="D104" s="149"/>
    </row>
    <row r="105" spans="2:4" x14ac:dyDescent="0.25">
      <c r="B105" s="143" t="s">
        <v>667</v>
      </c>
      <c r="C105" s="144" t="s">
        <v>344</v>
      </c>
      <c r="D105" s="149"/>
    </row>
    <row r="106" spans="2:4" ht="25.5" x14ac:dyDescent="0.25">
      <c r="B106" s="155" t="s">
        <v>677</v>
      </c>
      <c r="C106" s="147" t="s">
        <v>344</v>
      </c>
      <c r="D106" s="149"/>
    </row>
    <row r="107" spans="2:4" x14ac:dyDescent="0.25">
      <c r="B107" s="143" t="s">
        <v>658</v>
      </c>
      <c r="C107" s="152" t="s">
        <v>348</v>
      </c>
      <c r="D107" s="149"/>
    </row>
    <row r="108" spans="2:4" x14ac:dyDescent="0.25">
      <c r="B108" s="143" t="s">
        <v>659</v>
      </c>
      <c r="C108" s="152" t="s">
        <v>348</v>
      </c>
      <c r="D108" s="149"/>
    </row>
    <row r="109" spans="2:4" x14ac:dyDescent="0.25">
      <c r="B109" s="143" t="s">
        <v>676</v>
      </c>
      <c r="C109" s="152" t="s">
        <v>348</v>
      </c>
      <c r="D109" s="149"/>
    </row>
    <row r="110" spans="2:4" x14ac:dyDescent="0.25">
      <c r="B110" s="152" t="s">
        <v>661</v>
      </c>
      <c r="C110" s="152" t="s">
        <v>348</v>
      </c>
      <c r="D110" s="149"/>
    </row>
    <row r="111" spans="2:4" x14ac:dyDescent="0.25">
      <c r="B111" s="152" t="s">
        <v>662</v>
      </c>
      <c r="C111" s="152" t="s">
        <v>348</v>
      </c>
      <c r="D111" s="149"/>
    </row>
    <row r="112" spans="2:4" x14ac:dyDescent="0.25">
      <c r="B112" s="152" t="s">
        <v>663</v>
      </c>
      <c r="C112" s="152" t="s">
        <v>348</v>
      </c>
      <c r="D112" s="149"/>
    </row>
    <row r="113" spans="2:4" x14ac:dyDescent="0.25">
      <c r="B113" s="143" t="s">
        <v>664</v>
      </c>
      <c r="C113" s="152" t="s">
        <v>348</v>
      </c>
      <c r="D113" s="149"/>
    </row>
    <row r="114" spans="2:4" x14ac:dyDescent="0.25">
      <c r="B114" s="143" t="s">
        <v>671</v>
      </c>
      <c r="C114" s="152" t="s">
        <v>348</v>
      </c>
      <c r="D114" s="149"/>
    </row>
    <row r="115" spans="2:4" x14ac:dyDescent="0.25">
      <c r="B115" s="143" t="s">
        <v>666</v>
      </c>
      <c r="C115" s="152" t="s">
        <v>348</v>
      </c>
      <c r="D115" s="149"/>
    </row>
    <row r="116" spans="2:4" x14ac:dyDescent="0.25">
      <c r="B116" s="143" t="s">
        <v>667</v>
      </c>
      <c r="C116" s="152" t="s">
        <v>348</v>
      </c>
      <c r="D116" s="149"/>
    </row>
    <row r="117" spans="2:4" x14ac:dyDescent="0.25">
      <c r="B117" s="153" t="s">
        <v>347</v>
      </c>
      <c r="C117" s="147" t="s">
        <v>348</v>
      </c>
      <c r="D117" s="149"/>
    </row>
    <row r="118" spans="2:4" x14ac:dyDescent="0.25">
      <c r="D118" s="150">
        <f>SUM(D17+D28+D39+D50+D62+D73+D84+D95+D106+D117)</f>
        <v>15282000</v>
      </c>
    </row>
    <row r="119" spans="2:4" x14ac:dyDescent="0.25">
      <c r="D119" s="150"/>
    </row>
  </sheetData>
  <mergeCells count="2">
    <mergeCell ref="B2:D2"/>
    <mergeCell ref="B3:D3"/>
  </mergeCells>
  <phoneticPr fontId="4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workbookViewId="0">
      <selection activeCell="B1" sqref="B1"/>
    </sheetView>
  </sheetViews>
  <sheetFormatPr defaultRowHeight="15" x14ac:dyDescent="0.25"/>
  <cols>
    <col min="1" max="1" width="4" style="136" customWidth="1"/>
    <col min="2" max="2" width="100" style="136" customWidth="1"/>
    <col min="3" max="3" width="8.7109375" style="136"/>
    <col min="4" max="4" width="17" style="136" customWidth="1"/>
    <col min="5" max="257" width="8.7109375" style="136"/>
    <col min="258" max="258" width="100" style="136" customWidth="1"/>
    <col min="259" max="259" width="8.7109375" style="136"/>
    <col min="260" max="260" width="17" style="136" customWidth="1"/>
    <col min="261" max="513" width="8.7109375" style="136"/>
    <col min="514" max="514" width="100" style="136" customWidth="1"/>
    <col min="515" max="515" width="8.7109375" style="136"/>
    <col min="516" max="516" width="17" style="136" customWidth="1"/>
    <col min="517" max="769" width="8.7109375" style="136"/>
    <col min="770" max="770" width="100" style="136" customWidth="1"/>
    <col min="771" max="771" width="8.7109375" style="136"/>
    <col min="772" max="772" width="17" style="136" customWidth="1"/>
    <col min="773" max="1025" width="8.7109375" style="136"/>
    <col min="1026" max="1026" width="100" style="136" customWidth="1"/>
    <col min="1027" max="1027" width="8.7109375" style="136"/>
    <col min="1028" max="1028" width="17" style="136" customWidth="1"/>
    <col min="1029" max="1281" width="8.7109375" style="136"/>
    <col min="1282" max="1282" width="100" style="136" customWidth="1"/>
    <col min="1283" max="1283" width="8.7109375" style="136"/>
    <col min="1284" max="1284" width="17" style="136" customWidth="1"/>
    <col min="1285" max="1537" width="8.7109375" style="136"/>
    <col min="1538" max="1538" width="100" style="136" customWidth="1"/>
    <col min="1539" max="1539" width="8.7109375" style="136"/>
    <col min="1540" max="1540" width="17" style="136" customWidth="1"/>
    <col min="1541" max="1793" width="8.7109375" style="136"/>
    <col min="1794" max="1794" width="100" style="136" customWidth="1"/>
    <col min="1795" max="1795" width="8.7109375" style="136"/>
    <col min="1796" max="1796" width="17" style="136" customWidth="1"/>
    <col min="1797" max="2049" width="8.7109375" style="136"/>
    <col min="2050" max="2050" width="100" style="136" customWidth="1"/>
    <col min="2051" max="2051" width="8.7109375" style="136"/>
    <col min="2052" max="2052" width="17" style="136" customWidth="1"/>
    <col min="2053" max="2305" width="8.7109375" style="136"/>
    <col min="2306" max="2306" width="100" style="136" customWidth="1"/>
    <col min="2307" max="2307" width="8.7109375" style="136"/>
    <col min="2308" max="2308" width="17" style="136" customWidth="1"/>
    <col min="2309" max="2561" width="8.7109375" style="136"/>
    <col min="2562" max="2562" width="100" style="136" customWidth="1"/>
    <col min="2563" max="2563" width="8.7109375" style="136"/>
    <col min="2564" max="2564" width="17" style="136" customWidth="1"/>
    <col min="2565" max="2817" width="8.7109375" style="136"/>
    <col min="2818" max="2818" width="100" style="136" customWidth="1"/>
    <col min="2819" max="2819" width="8.7109375" style="136"/>
    <col min="2820" max="2820" width="17" style="136" customWidth="1"/>
    <col min="2821" max="3073" width="8.7109375" style="136"/>
    <col min="3074" max="3074" width="100" style="136" customWidth="1"/>
    <col min="3075" max="3075" width="8.7109375" style="136"/>
    <col min="3076" max="3076" width="17" style="136" customWidth="1"/>
    <col min="3077" max="3329" width="8.7109375" style="136"/>
    <col min="3330" max="3330" width="100" style="136" customWidth="1"/>
    <col min="3331" max="3331" width="8.7109375" style="136"/>
    <col min="3332" max="3332" width="17" style="136" customWidth="1"/>
    <col min="3333" max="3585" width="8.7109375" style="136"/>
    <col min="3586" max="3586" width="100" style="136" customWidth="1"/>
    <col min="3587" max="3587" width="8.7109375" style="136"/>
    <col min="3588" max="3588" width="17" style="136" customWidth="1"/>
    <col min="3589" max="3841" width="8.7109375" style="136"/>
    <col min="3842" max="3842" width="100" style="136" customWidth="1"/>
    <col min="3843" max="3843" width="8.7109375" style="136"/>
    <col min="3844" max="3844" width="17" style="136" customWidth="1"/>
    <col min="3845" max="4097" width="8.7109375" style="136"/>
    <col min="4098" max="4098" width="100" style="136" customWidth="1"/>
    <col min="4099" max="4099" width="8.7109375" style="136"/>
    <col min="4100" max="4100" width="17" style="136" customWidth="1"/>
    <col min="4101" max="4353" width="8.7109375" style="136"/>
    <col min="4354" max="4354" width="100" style="136" customWidth="1"/>
    <col min="4355" max="4355" width="8.7109375" style="136"/>
    <col min="4356" max="4356" width="17" style="136" customWidth="1"/>
    <col min="4357" max="4609" width="8.7109375" style="136"/>
    <col min="4610" max="4610" width="100" style="136" customWidth="1"/>
    <col min="4611" max="4611" width="8.7109375" style="136"/>
    <col min="4612" max="4612" width="17" style="136" customWidth="1"/>
    <col min="4613" max="4865" width="8.7109375" style="136"/>
    <col min="4866" max="4866" width="100" style="136" customWidth="1"/>
    <col min="4867" max="4867" width="8.7109375" style="136"/>
    <col min="4868" max="4868" width="17" style="136" customWidth="1"/>
    <col min="4869" max="5121" width="8.7109375" style="136"/>
    <col min="5122" max="5122" width="100" style="136" customWidth="1"/>
    <col min="5123" max="5123" width="8.7109375" style="136"/>
    <col min="5124" max="5124" width="17" style="136" customWidth="1"/>
    <col min="5125" max="5377" width="8.7109375" style="136"/>
    <col min="5378" max="5378" width="100" style="136" customWidth="1"/>
    <col min="5379" max="5379" width="8.7109375" style="136"/>
    <col min="5380" max="5380" width="17" style="136" customWidth="1"/>
    <col min="5381" max="5633" width="8.7109375" style="136"/>
    <col min="5634" max="5634" width="100" style="136" customWidth="1"/>
    <col min="5635" max="5635" width="8.7109375" style="136"/>
    <col min="5636" max="5636" width="17" style="136" customWidth="1"/>
    <col min="5637" max="5889" width="8.7109375" style="136"/>
    <col min="5890" max="5890" width="100" style="136" customWidth="1"/>
    <col min="5891" max="5891" width="8.7109375" style="136"/>
    <col min="5892" max="5892" width="17" style="136" customWidth="1"/>
    <col min="5893" max="6145" width="8.7109375" style="136"/>
    <col min="6146" max="6146" width="100" style="136" customWidth="1"/>
    <col min="6147" max="6147" width="8.7109375" style="136"/>
    <col min="6148" max="6148" width="17" style="136" customWidth="1"/>
    <col min="6149" max="6401" width="8.7109375" style="136"/>
    <col min="6402" max="6402" width="100" style="136" customWidth="1"/>
    <col min="6403" max="6403" width="8.7109375" style="136"/>
    <col min="6404" max="6404" width="17" style="136" customWidth="1"/>
    <col min="6405" max="6657" width="8.7109375" style="136"/>
    <col min="6658" max="6658" width="100" style="136" customWidth="1"/>
    <col min="6659" max="6659" width="8.7109375" style="136"/>
    <col min="6660" max="6660" width="17" style="136" customWidth="1"/>
    <col min="6661" max="6913" width="8.7109375" style="136"/>
    <col min="6914" max="6914" width="100" style="136" customWidth="1"/>
    <col min="6915" max="6915" width="8.7109375" style="136"/>
    <col min="6916" max="6916" width="17" style="136" customWidth="1"/>
    <col min="6917" max="7169" width="8.7109375" style="136"/>
    <col min="7170" max="7170" width="100" style="136" customWidth="1"/>
    <col min="7171" max="7171" width="8.7109375" style="136"/>
    <col min="7172" max="7172" width="17" style="136" customWidth="1"/>
    <col min="7173" max="7425" width="8.7109375" style="136"/>
    <col min="7426" max="7426" width="100" style="136" customWidth="1"/>
    <col min="7427" max="7427" width="8.7109375" style="136"/>
    <col min="7428" max="7428" width="17" style="136" customWidth="1"/>
    <col min="7429" max="7681" width="8.7109375" style="136"/>
    <col min="7682" max="7682" width="100" style="136" customWidth="1"/>
    <col min="7683" max="7683" width="8.7109375" style="136"/>
    <col min="7684" max="7684" width="17" style="136" customWidth="1"/>
    <col min="7685" max="7937" width="8.7109375" style="136"/>
    <col min="7938" max="7938" width="100" style="136" customWidth="1"/>
    <col min="7939" max="7939" width="8.7109375" style="136"/>
    <col min="7940" max="7940" width="17" style="136" customWidth="1"/>
    <col min="7941" max="8193" width="8.7109375" style="136"/>
    <col min="8194" max="8194" width="100" style="136" customWidth="1"/>
    <col min="8195" max="8195" width="8.7109375" style="136"/>
    <col min="8196" max="8196" width="17" style="136" customWidth="1"/>
    <col min="8197" max="8449" width="8.7109375" style="136"/>
    <col min="8450" max="8450" width="100" style="136" customWidth="1"/>
    <col min="8451" max="8451" width="8.7109375" style="136"/>
    <col min="8452" max="8452" width="17" style="136" customWidth="1"/>
    <col min="8453" max="8705" width="8.7109375" style="136"/>
    <col min="8706" max="8706" width="100" style="136" customWidth="1"/>
    <col min="8707" max="8707" width="8.7109375" style="136"/>
    <col min="8708" max="8708" width="17" style="136" customWidth="1"/>
    <col min="8709" max="8961" width="8.7109375" style="136"/>
    <col min="8962" max="8962" width="100" style="136" customWidth="1"/>
    <col min="8963" max="8963" width="8.7109375" style="136"/>
    <col min="8964" max="8964" width="17" style="136" customWidth="1"/>
    <col min="8965" max="9217" width="8.7109375" style="136"/>
    <col min="9218" max="9218" width="100" style="136" customWidth="1"/>
    <col min="9219" max="9219" width="8.7109375" style="136"/>
    <col min="9220" max="9220" width="17" style="136" customWidth="1"/>
    <col min="9221" max="9473" width="8.7109375" style="136"/>
    <col min="9474" max="9474" width="100" style="136" customWidth="1"/>
    <col min="9475" max="9475" width="8.7109375" style="136"/>
    <col min="9476" max="9476" width="17" style="136" customWidth="1"/>
    <col min="9477" max="9729" width="8.7109375" style="136"/>
    <col min="9730" max="9730" width="100" style="136" customWidth="1"/>
    <col min="9731" max="9731" width="8.7109375" style="136"/>
    <col min="9732" max="9732" width="17" style="136" customWidth="1"/>
    <col min="9733" max="9985" width="8.7109375" style="136"/>
    <col min="9986" max="9986" width="100" style="136" customWidth="1"/>
    <col min="9987" max="9987" width="8.7109375" style="136"/>
    <col min="9988" max="9988" width="17" style="136" customWidth="1"/>
    <col min="9989" max="10241" width="8.7109375" style="136"/>
    <col min="10242" max="10242" width="100" style="136" customWidth="1"/>
    <col min="10243" max="10243" width="8.7109375" style="136"/>
    <col min="10244" max="10244" width="17" style="136" customWidth="1"/>
    <col min="10245" max="10497" width="8.7109375" style="136"/>
    <col min="10498" max="10498" width="100" style="136" customWidth="1"/>
    <col min="10499" max="10499" width="8.7109375" style="136"/>
    <col min="10500" max="10500" width="17" style="136" customWidth="1"/>
    <col min="10501" max="10753" width="8.7109375" style="136"/>
    <col min="10754" max="10754" width="100" style="136" customWidth="1"/>
    <col min="10755" max="10755" width="8.7109375" style="136"/>
    <col min="10756" max="10756" width="17" style="136" customWidth="1"/>
    <col min="10757" max="11009" width="8.7109375" style="136"/>
    <col min="11010" max="11010" width="100" style="136" customWidth="1"/>
    <col min="11011" max="11011" width="8.7109375" style="136"/>
    <col min="11012" max="11012" width="17" style="136" customWidth="1"/>
    <col min="11013" max="11265" width="8.7109375" style="136"/>
    <col min="11266" max="11266" width="100" style="136" customWidth="1"/>
    <col min="11267" max="11267" width="8.7109375" style="136"/>
    <col min="11268" max="11268" width="17" style="136" customWidth="1"/>
    <col min="11269" max="11521" width="8.7109375" style="136"/>
    <col min="11522" max="11522" width="100" style="136" customWidth="1"/>
    <col min="11523" max="11523" width="8.7109375" style="136"/>
    <col min="11524" max="11524" width="17" style="136" customWidth="1"/>
    <col min="11525" max="11777" width="8.7109375" style="136"/>
    <col min="11778" max="11778" width="100" style="136" customWidth="1"/>
    <col min="11779" max="11779" width="8.7109375" style="136"/>
    <col min="11780" max="11780" width="17" style="136" customWidth="1"/>
    <col min="11781" max="12033" width="8.7109375" style="136"/>
    <col min="12034" max="12034" width="100" style="136" customWidth="1"/>
    <col min="12035" max="12035" width="8.7109375" style="136"/>
    <col min="12036" max="12036" width="17" style="136" customWidth="1"/>
    <col min="12037" max="12289" width="8.7109375" style="136"/>
    <col min="12290" max="12290" width="100" style="136" customWidth="1"/>
    <col min="12291" max="12291" width="8.7109375" style="136"/>
    <col min="12292" max="12292" width="17" style="136" customWidth="1"/>
    <col min="12293" max="12545" width="8.7109375" style="136"/>
    <col min="12546" max="12546" width="100" style="136" customWidth="1"/>
    <col min="12547" max="12547" width="8.7109375" style="136"/>
    <col min="12548" max="12548" width="17" style="136" customWidth="1"/>
    <col min="12549" max="12801" width="8.7109375" style="136"/>
    <col min="12802" max="12802" width="100" style="136" customWidth="1"/>
    <col min="12803" max="12803" width="8.7109375" style="136"/>
    <col min="12804" max="12804" width="17" style="136" customWidth="1"/>
    <col min="12805" max="13057" width="8.7109375" style="136"/>
    <col min="13058" max="13058" width="100" style="136" customWidth="1"/>
    <col min="13059" max="13059" width="8.7109375" style="136"/>
    <col min="13060" max="13060" width="17" style="136" customWidth="1"/>
    <col min="13061" max="13313" width="8.7109375" style="136"/>
    <col min="13314" max="13314" width="100" style="136" customWidth="1"/>
    <col min="13315" max="13315" width="8.7109375" style="136"/>
    <col min="13316" max="13316" width="17" style="136" customWidth="1"/>
    <col min="13317" max="13569" width="8.7109375" style="136"/>
    <col min="13570" max="13570" width="100" style="136" customWidth="1"/>
    <col min="13571" max="13571" width="8.7109375" style="136"/>
    <col min="13572" max="13572" width="17" style="136" customWidth="1"/>
    <col min="13573" max="13825" width="8.7109375" style="136"/>
    <col min="13826" max="13826" width="100" style="136" customWidth="1"/>
    <col min="13827" max="13827" width="8.7109375" style="136"/>
    <col min="13828" max="13828" width="17" style="136" customWidth="1"/>
    <col min="13829" max="14081" width="8.7109375" style="136"/>
    <col min="14082" max="14082" width="100" style="136" customWidth="1"/>
    <col min="14083" max="14083" width="8.7109375" style="136"/>
    <col min="14084" max="14084" width="17" style="136" customWidth="1"/>
    <col min="14085" max="14337" width="8.7109375" style="136"/>
    <col min="14338" max="14338" width="100" style="136" customWidth="1"/>
    <col min="14339" max="14339" width="8.7109375" style="136"/>
    <col min="14340" max="14340" width="17" style="136" customWidth="1"/>
    <col min="14341" max="14593" width="8.7109375" style="136"/>
    <col min="14594" max="14594" width="100" style="136" customWidth="1"/>
    <col min="14595" max="14595" width="8.7109375" style="136"/>
    <col min="14596" max="14596" width="17" style="136" customWidth="1"/>
    <col min="14597" max="14849" width="8.7109375" style="136"/>
    <col min="14850" max="14850" width="100" style="136" customWidth="1"/>
    <col min="14851" max="14851" width="8.7109375" style="136"/>
    <col min="14852" max="14852" width="17" style="136" customWidth="1"/>
    <col min="14853" max="15105" width="8.7109375" style="136"/>
    <col min="15106" max="15106" width="100" style="136" customWidth="1"/>
    <col min="15107" max="15107" width="8.7109375" style="136"/>
    <col min="15108" max="15108" width="17" style="136" customWidth="1"/>
    <col min="15109" max="15361" width="8.7109375" style="136"/>
    <col min="15362" max="15362" width="100" style="136" customWidth="1"/>
    <col min="15363" max="15363" width="8.7109375" style="136"/>
    <col min="15364" max="15364" width="17" style="136" customWidth="1"/>
    <col min="15365" max="15617" width="8.7109375" style="136"/>
    <col min="15618" max="15618" width="100" style="136" customWidth="1"/>
    <col min="15619" max="15619" width="8.7109375" style="136"/>
    <col min="15620" max="15620" width="17" style="136" customWidth="1"/>
    <col min="15621" max="15873" width="8.7109375" style="136"/>
    <col min="15874" max="15874" width="100" style="136" customWidth="1"/>
    <col min="15875" max="15875" width="8.7109375" style="136"/>
    <col min="15876" max="15876" width="17" style="136" customWidth="1"/>
    <col min="15877" max="16129" width="8.7109375" style="136"/>
    <col min="16130" max="16130" width="100" style="136" customWidth="1"/>
    <col min="16131" max="16131" width="8.7109375" style="136"/>
    <col min="16132" max="16132" width="17" style="136" customWidth="1"/>
    <col min="16133" max="16384" width="8.7109375" style="136"/>
  </cols>
  <sheetData>
    <row r="1" spans="1:4" x14ac:dyDescent="0.25">
      <c r="A1" s="135" t="s">
        <v>682</v>
      </c>
      <c r="B1" s="678" t="str">
        <f>'Bevételek KÖH'!B1</f>
        <v>melléklet a 4/2021.(III.08.) önkormányzati rendelethez</v>
      </c>
    </row>
    <row r="2" spans="1:4" ht="28.5" customHeight="1" x14ac:dyDescent="0.25">
      <c r="B2" s="794" t="str">
        <f>'Kiemelt EI.'!B2:C2</f>
        <v>Az önkormányzat 2022.évi költségvetése</v>
      </c>
      <c r="C2" s="796"/>
      <c r="D2" s="796"/>
    </row>
    <row r="3" spans="1:4" ht="26.25" customHeight="1" x14ac:dyDescent="0.25">
      <c r="B3" s="795" t="s">
        <v>683</v>
      </c>
      <c r="C3" s="795"/>
      <c r="D3" s="795"/>
    </row>
    <row r="4" spans="1:4" ht="18.75" customHeight="1" x14ac:dyDescent="0.3">
      <c r="B4" s="156"/>
      <c r="C4" s="157"/>
      <c r="D4" s="157"/>
    </row>
    <row r="5" spans="1:4" ht="23.25" customHeight="1" x14ac:dyDescent="0.25">
      <c r="B5" s="139" t="s">
        <v>595</v>
      </c>
    </row>
    <row r="6" spans="1:4" ht="25.5" x14ac:dyDescent="0.25">
      <c r="B6" s="140" t="s">
        <v>130</v>
      </c>
      <c r="C6" s="141" t="s">
        <v>190</v>
      </c>
      <c r="D6" s="142" t="s">
        <v>606</v>
      </c>
    </row>
    <row r="7" spans="1:4" x14ac:dyDescent="0.25">
      <c r="B7" s="158" t="s">
        <v>717</v>
      </c>
      <c r="C7" s="159" t="s">
        <v>268</v>
      </c>
      <c r="D7" s="149"/>
    </row>
    <row r="8" spans="1:4" x14ac:dyDescent="0.25">
      <c r="B8" s="158" t="s">
        <v>684</v>
      </c>
      <c r="C8" s="159" t="s">
        <v>268</v>
      </c>
      <c r="D8" s="149"/>
    </row>
    <row r="9" spans="1:4" x14ac:dyDescent="0.25">
      <c r="B9" s="153" t="s">
        <v>165</v>
      </c>
      <c r="C9" s="160" t="s">
        <v>268</v>
      </c>
      <c r="D9" s="151">
        <f>SUM(D7:D8)</f>
        <v>0</v>
      </c>
    </row>
    <row r="10" spans="1:4" x14ac:dyDescent="0.25">
      <c r="B10" s="161" t="s">
        <v>685</v>
      </c>
      <c r="C10" s="144" t="s">
        <v>272</v>
      </c>
      <c r="D10" s="149"/>
    </row>
    <row r="11" spans="1:4" x14ac:dyDescent="0.25">
      <c r="B11" s="161" t="s">
        <v>686</v>
      </c>
      <c r="C11" s="144" t="s">
        <v>272</v>
      </c>
      <c r="D11" s="149"/>
    </row>
    <row r="12" spans="1:4" x14ac:dyDescent="0.25">
      <c r="B12" s="161" t="s">
        <v>687</v>
      </c>
      <c r="C12" s="144" t="s">
        <v>272</v>
      </c>
      <c r="D12" s="149"/>
    </row>
    <row r="13" spans="1:4" x14ac:dyDescent="0.25">
      <c r="B13" s="161" t="s">
        <v>688</v>
      </c>
      <c r="C13" s="144" t="s">
        <v>272</v>
      </c>
      <c r="D13" s="149"/>
    </row>
    <row r="14" spans="1:4" x14ac:dyDescent="0.25">
      <c r="B14" s="143" t="s">
        <v>689</v>
      </c>
      <c r="C14" s="144" t="s">
        <v>272</v>
      </c>
      <c r="D14" s="149"/>
    </row>
    <row r="15" spans="1:4" x14ac:dyDescent="0.25">
      <c r="B15" s="143" t="s">
        <v>690</v>
      </c>
      <c r="C15" s="144" t="s">
        <v>272</v>
      </c>
      <c r="D15" s="149"/>
    </row>
    <row r="16" spans="1:4" x14ac:dyDescent="0.25">
      <c r="B16" s="153" t="s">
        <v>691</v>
      </c>
      <c r="C16" s="160" t="s">
        <v>272</v>
      </c>
      <c r="D16" s="151">
        <f>SUM(D10:D15)</f>
        <v>0</v>
      </c>
    </row>
    <row r="17" spans="2:4" x14ac:dyDescent="0.25">
      <c r="B17" s="161" t="s">
        <v>692</v>
      </c>
      <c r="C17" s="144" t="s">
        <v>274</v>
      </c>
      <c r="D17" s="149"/>
    </row>
    <row r="18" spans="2:4" x14ac:dyDescent="0.25">
      <c r="B18" s="162" t="s">
        <v>693</v>
      </c>
      <c r="C18" s="160" t="s">
        <v>274</v>
      </c>
      <c r="D18" s="151">
        <f>SUM(D17)</f>
        <v>0</v>
      </c>
    </row>
    <row r="19" spans="2:4" x14ac:dyDescent="0.25">
      <c r="B19" s="161" t="s">
        <v>694</v>
      </c>
      <c r="C19" s="144" t="s">
        <v>276</v>
      </c>
      <c r="D19" s="149"/>
    </row>
    <row r="20" spans="2:4" x14ac:dyDescent="0.25">
      <c r="B20" s="161" t="s">
        <v>695</v>
      </c>
      <c r="C20" s="144" t="s">
        <v>276</v>
      </c>
      <c r="D20" s="149"/>
    </row>
    <row r="21" spans="2:4" x14ac:dyDescent="0.25">
      <c r="B21" s="143" t="s">
        <v>696</v>
      </c>
      <c r="C21" s="144" t="s">
        <v>276</v>
      </c>
      <c r="D21" s="145"/>
    </row>
    <row r="22" spans="2:4" x14ac:dyDescent="0.25">
      <c r="B22" s="143" t="s">
        <v>697</v>
      </c>
      <c r="C22" s="144" t="s">
        <v>276</v>
      </c>
      <c r="D22" s="149"/>
    </row>
    <row r="23" spans="2:4" x14ac:dyDescent="0.25">
      <c r="B23" s="143" t="s">
        <v>698</v>
      </c>
      <c r="C23" s="144" t="s">
        <v>276</v>
      </c>
      <c r="D23" s="149"/>
    </row>
    <row r="24" spans="2:4" ht="30" x14ac:dyDescent="0.25">
      <c r="B24" s="163" t="s">
        <v>699</v>
      </c>
      <c r="C24" s="144" t="s">
        <v>276</v>
      </c>
      <c r="D24" s="149"/>
    </row>
    <row r="25" spans="2:4" x14ac:dyDescent="0.25">
      <c r="B25" s="155" t="s">
        <v>700</v>
      </c>
      <c r="C25" s="160" t="s">
        <v>276</v>
      </c>
      <c r="D25" s="151">
        <f>SUM(D19:D24)</f>
        <v>0</v>
      </c>
    </row>
    <row r="26" spans="2:4" x14ac:dyDescent="0.25">
      <c r="B26" s="161" t="s">
        <v>701</v>
      </c>
      <c r="C26" s="144" t="s">
        <v>278</v>
      </c>
      <c r="D26" s="149"/>
    </row>
    <row r="27" spans="2:4" x14ac:dyDescent="0.25">
      <c r="B27" s="161" t="s">
        <v>702</v>
      </c>
      <c r="C27" s="144" t="s">
        <v>278</v>
      </c>
      <c r="D27" s="149"/>
    </row>
    <row r="28" spans="2:4" x14ac:dyDescent="0.25">
      <c r="B28" s="155" t="s">
        <v>703</v>
      </c>
      <c r="C28" s="147" t="s">
        <v>278</v>
      </c>
      <c r="D28" s="149">
        <f>SUM(D26:D27)</f>
        <v>0</v>
      </c>
    </row>
    <row r="29" spans="2:4" x14ac:dyDescent="0.25">
      <c r="B29" s="161" t="s">
        <v>704</v>
      </c>
      <c r="C29" s="144" t="s">
        <v>280</v>
      </c>
      <c r="D29" s="149"/>
    </row>
    <row r="30" spans="2:4" x14ac:dyDescent="0.25">
      <c r="B30" s="161" t="s">
        <v>705</v>
      </c>
      <c r="C30" s="144" t="s">
        <v>280</v>
      </c>
      <c r="D30" s="149"/>
    </row>
    <row r="31" spans="2:4" x14ac:dyDescent="0.25">
      <c r="B31" s="143" t="s">
        <v>706</v>
      </c>
      <c r="C31" s="144" t="s">
        <v>280</v>
      </c>
      <c r="D31" s="149">
        <f>SUM('ÖNK kiadás cofogra'!D734)</f>
        <v>400000</v>
      </c>
    </row>
    <row r="32" spans="2:4" x14ac:dyDescent="0.25">
      <c r="B32" s="143" t="s">
        <v>707</v>
      </c>
      <c r="C32" s="144" t="s">
        <v>280</v>
      </c>
      <c r="D32" s="149">
        <f>SUM('ÖNK kiadás cofogra'!D730)</f>
        <v>405000</v>
      </c>
    </row>
    <row r="33" spans="2:4" x14ac:dyDescent="0.25">
      <c r="B33" s="143" t="s">
        <v>708</v>
      </c>
      <c r="C33" s="144" t="s">
        <v>280</v>
      </c>
      <c r="D33" s="149"/>
    </row>
    <row r="34" spans="2:4" x14ac:dyDescent="0.25">
      <c r="B34" s="143" t="s">
        <v>709</v>
      </c>
      <c r="C34" s="144" t="s">
        <v>280</v>
      </c>
      <c r="D34" s="149"/>
    </row>
    <row r="35" spans="2:4" x14ac:dyDescent="0.25">
      <c r="B35" s="143" t="s">
        <v>710</v>
      </c>
      <c r="C35" s="144" t="s">
        <v>280</v>
      </c>
      <c r="D35" s="149"/>
    </row>
    <row r="36" spans="2:4" x14ac:dyDescent="0.25">
      <c r="B36" s="143" t="s">
        <v>711</v>
      </c>
      <c r="C36" s="144" t="s">
        <v>280</v>
      </c>
      <c r="D36" s="149"/>
    </row>
    <row r="37" spans="2:4" x14ac:dyDescent="0.25">
      <c r="B37" s="143" t="s">
        <v>712</v>
      </c>
      <c r="C37" s="144" t="s">
        <v>280</v>
      </c>
      <c r="D37" s="149">
        <f>SUM('ÖNK kiadás cofogra'!D732)</f>
        <v>450000</v>
      </c>
    </row>
    <row r="38" spans="2:4" ht="17.25" customHeight="1" x14ac:dyDescent="0.25">
      <c r="B38" s="143" t="s">
        <v>713</v>
      </c>
      <c r="C38" s="144" t="s">
        <v>280</v>
      </c>
      <c r="D38" s="149"/>
    </row>
    <row r="39" spans="2:4" ht="31.5" x14ac:dyDescent="0.25">
      <c r="B39" s="143" t="s">
        <v>714</v>
      </c>
      <c r="C39" s="144" t="s">
        <v>280</v>
      </c>
      <c r="D39" s="149">
        <f>SUM('ÖNK kiadás cofogra'!C737)</f>
        <v>100000</v>
      </c>
    </row>
    <row r="40" spans="2:4" ht="31.5" x14ac:dyDescent="0.25">
      <c r="B40" s="143" t="s">
        <v>715</v>
      </c>
      <c r="C40" s="144" t="s">
        <v>280</v>
      </c>
      <c r="D40" s="149">
        <f>SUM('ÖNK kiadás cofogra'!C739+'ÖNK kiadás cofogra'!C738)</f>
        <v>1000000</v>
      </c>
    </row>
    <row r="41" spans="2:4" x14ac:dyDescent="0.25">
      <c r="B41" s="155" t="s">
        <v>716</v>
      </c>
      <c r="C41" s="160" t="s">
        <v>280</v>
      </c>
      <c r="D41" s="151">
        <f>SUM(D29:D40)</f>
        <v>2355000</v>
      </c>
    </row>
    <row r="42" spans="2:4" ht="15.75" x14ac:dyDescent="0.25">
      <c r="B42" s="164" t="s">
        <v>281</v>
      </c>
      <c r="C42" s="165" t="s">
        <v>282</v>
      </c>
      <c r="D42" s="151">
        <f>D9+D16+D18+D25+D28+D41</f>
        <v>2355000</v>
      </c>
    </row>
    <row r="44" spans="2:4" x14ac:dyDescent="0.25">
      <c r="D44" s="516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7" zoomScaleNormal="100" workbookViewId="0">
      <selection activeCell="E61" sqref="E61"/>
    </sheetView>
  </sheetViews>
  <sheetFormatPr defaultColWidth="8.7109375" defaultRowHeight="15" x14ac:dyDescent="0.25"/>
  <cols>
    <col min="1" max="1" width="29.28515625" style="1" customWidth="1"/>
    <col min="2" max="2" width="12" style="1" customWidth="1"/>
    <col min="3" max="3" width="12.5703125" style="1" customWidth="1"/>
    <col min="4" max="4" width="15.5703125" style="1" customWidth="1"/>
    <col min="5" max="5" width="11.85546875" style="1" customWidth="1"/>
    <col min="6" max="6" width="9.140625" style="1" customWidth="1"/>
    <col min="7" max="7" width="13.5703125" style="1" customWidth="1"/>
    <col min="8" max="16384" width="8.7109375" style="1"/>
  </cols>
  <sheetData>
    <row r="1" spans="1:6" ht="19.5" thickBot="1" x14ac:dyDescent="0.35">
      <c r="A1" s="688" t="s">
        <v>5</v>
      </c>
      <c r="B1" s="689"/>
      <c r="C1" s="689"/>
      <c r="D1" s="689"/>
      <c r="E1" s="690"/>
    </row>
    <row r="2" spans="1:6" ht="15.75" thickBot="1" x14ac:dyDescent="0.3">
      <c r="A2" s="2"/>
    </row>
    <row r="3" spans="1:6" ht="15.75" thickBot="1" x14ac:dyDescent="0.3">
      <c r="A3" s="2"/>
      <c r="B3" s="321">
        <v>2022</v>
      </c>
      <c r="C3" s="3"/>
    </row>
    <row r="4" spans="1:6" x14ac:dyDescent="0.25">
      <c r="A4" s="2" t="s">
        <v>6</v>
      </c>
      <c r="B4" s="4">
        <v>0.13</v>
      </c>
      <c r="C4" s="4"/>
    </row>
    <row r="5" spans="1:6" x14ac:dyDescent="0.25">
      <c r="A5" s="2"/>
    </row>
    <row r="6" spans="1:6" x14ac:dyDescent="0.25">
      <c r="A6" s="6"/>
      <c r="B6" s="7"/>
      <c r="C6" s="5"/>
      <c r="D6" s="5"/>
    </row>
    <row r="7" spans="1:6" ht="15.75" thickBot="1" x14ac:dyDescent="0.3"/>
    <row r="8" spans="1:6" ht="15.75" thickBot="1" x14ac:dyDescent="0.3">
      <c r="A8" s="320" t="s">
        <v>830</v>
      </c>
    </row>
    <row r="9" spans="1:6" x14ac:dyDescent="0.25">
      <c r="B9" s="23">
        <v>2021</v>
      </c>
      <c r="C9" s="23">
        <v>2022</v>
      </c>
      <c r="D9" s="3" t="s">
        <v>8</v>
      </c>
      <c r="E9" s="10"/>
    </row>
    <row r="10" spans="1:6" x14ac:dyDescent="0.25">
      <c r="A10" s="1" t="s">
        <v>9</v>
      </c>
      <c r="B10" s="7">
        <v>521200</v>
      </c>
      <c r="C10" s="7">
        <f>SUM('KÖH kiadás'!D95)</f>
        <v>625440</v>
      </c>
      <c r="D10" s="7">
        <f>SUM(C10*12)</f>
        <v>7505280</v>
      </c>
      <c r="F10" s="7"/>
    </row>
    <row r="11" spans="1:6" x14ac:dyDescent="0.25">
      <c r="A11" s="1" t="s">
        <v>10</v>
      </c>
      <c r="B11" s="7">
        <v>262800</v>
      </c>
      <c r="C11" s="7">
        <f>SUM('KÖH kiadás'!D98)</f>
        <v>315400</v>
      </c>
      <c r="D11" s="7">
        <f t="shared" ref="D11:D15" si="0">SUM(C11*12)</f>
        <v>3784800</v>
      </c>
      <c r="F11" s="7"/>
    </row>
    <row r="12" spans="1:6" x14ac:dyDescent="0.25">
      <c r="A12" s="1" t="s">
        <v>11</v>
      </c>
      <c r="B12" s="7">
        <v>300000</v>
      </c>
      <c r="C12" s="7">
        <f>SUM('KÖH kiadás'!D101)</f>
        <v>360000</v>
      </c>
      <c r="D12" s="7">
        <f t="shared" si="0"/>
        <v>4320000</v>
      </c>
    </row>
    <row r="13" spans="1:6" x14ac:dyDescent="0.25">
      <c r="A13" s="1" t="s">
        <v>28</v>
      </c>
      <c r="B13" s="7">
        <v>262800</v>
      </c>
      <c r="C13" s="7">
        <v>0</v>
      </c>
      <c r="D13" s="7">
        <f t="shared" si="0"/>
        <v>0</v>
      </c>
    </row>
    <row r="14" spans="1:6" x14ac:dyDescent="0.25">
      <c r="A14" s="675" t="s">
        <v>1439</v>
      </c>
      <c r="B14" s="7">
        <v>300000</v>
      </c>
      <c r="C14" s="7">
        <f>SUM('KÖH kiadás'!D104)</f>
        <v>360000</v>
      </c>
      <c r="D14" s="7">
        <f t="shared" si="0"/>
        <v>4320000</v>
      </c>
    </row>
    <row r="15" spans="1:6" x14ac:dyDescent="0.25">
      <c r="A15" s="246" t="s">
        <v>828</v>
      </c>
      <c r="B15" s="8">
        <v>320000</v>
      </c>
      <c r="C15" s="8">
        <f>SUM('KÖH kiadás'!D107)</f>
        <v>384000</v>
      </c>
      <c r="D15" s="7">
        <f t="shared" si="0"/>
        <v>4608000</v>
      </c>
      <c r="F15" s="7"/>
    </row>
    <row r="16" spans="1:6" x14ac:dyDescent="0.25">
      <c r="B16" s="7">
        <f>SUM(B10:B15)</f>
        <v>1966800</v>
      </c>
      <c r="C16" s="7">
        <f>SUM(C10:C15)</f>
        <v>2044840</v>
      </c>
      <c r="D16" s="9">
        <f>SUM(D10:D15)</f>
        <v>24538080</v>
      </c>
      <c r="E16" s="317"/>
    </row>
    <row r="17" spans="1:5" x14ac:dyDescent="0.25">
      <c r="B17" s="7"/>
      <c r="C17" s="7"/>
      <c r="D17" s="9"/>
    </row>
    <row r="18" spans="1:5" x14ac:dyDescent="0.25">
      <c r="A18" s="248" t="s">
        <v>14</v>
      </c>
      <c r="B18" s="7"/>
      <c r="C18" s="7"/>
      <c r="D18" s="9">
        <f>SUM(D16*0.13)</f>
        <v>3189950.4</v>
      </c>
      <c r="E18" s="316"/>
    </row>
    <row r="19" spans="1:5" x14ac:dyDescent="0.25">
      <c r="B19" s="7"/>
      <c r="C19" s="7"/>
      <c r="D19" s="9"/>
    </row>
    <row r="20" spans="1:5" x14ac:dyDescent="0.25">
      <c r="A20" s="248" t="s">
        <v>16</v>
      </c>
      <c r="B20" s="7">
        <v>1876320</v>
      </c>
      <c r="C20" s="7">
        <f>SUM('KÖH kiadás'!F109)</f>
        <v>2501760</v>
      </c>
      <c r="D20" s="9">
        <f>SUM(C20)</f>
        <v>2501760</v>
      </c>
      <c r="E20" s="317"/>
    </row>
    <row r="21" spans="1:5" x14ac:dyDescent="0.25">
      <c r="A21" s="248"/>
      <c r="B21" s="7"/>
      <c r="C21" s="7"/>
      <c r="D21" s="9"/>
    </row>
    <row r="22" spans="1:5" x14ac:dyDescent="0.25">
      <c r="A22" s="248" t="s">
        <v>815</v>
      </c>
      <c r="B22" s="249">
        <v>0.13</v>
      </c>
      <c r="C22" s="7"/>
      <c r="D22" s="9">
        <f>SUM('Személyi KÖH'!D20*0.13)</f>
        <v>325228.79999999999</v>
      </c>
      <c r="E22" s="316"/>
    </row>
    <row r="23" spans="1:5" x14ac:dyDescent="0.25">
      <c r="B23" s="7"/>
      <c r="C23" s="7"/>
      <c r="D23" s="9"/>
    </row>
    <row r="24" spans="1:5" x14ac:dyDescent="0.25">
      <c r="A24" s="1" t="s">
        <v>30</v>
      </c>
      <c r="B24" s="7"/>
      <c r="C24" s="7"/>
      <c r="D24" s="9">
        <f>SUM('KÖH kiadás'!F111)</f>
        <v>1000000</v>
      </c>
      <c r="E24" s="317"/>
    </row>
    <row r="25" spans="1:5" x14ac:dyDescent="0.25">
      <c r="B25" s="7"/>
      <c r="C25" s="7"/>
      <c r="D25" s="7"/>
    </row>
    <row r="26" spans="1:5" x14ac:dyDescent="0.25">
      <c r="A26" s="1" t="s">
        <v>13</v>
      </c>
      <c r="B26" s="12">
        <v>0.15</v>
      </c>
      <c r="D26" s="7">
        <f>SUM('Személyi KÖH'!D24*0.15)</f>
        <v>150000</v>
      </c>
    </row>
    <row r="27" spans="1:5" x14ac:dyDescent="0.25">
      <c r="A27" s="11" t="s">
        <v>14</v>
      </c>
      <c r="B27" s="13">
        <v>0.13</v>
      </c>
      <c r="C27" s="11"/>
      <c r="D27" s="8">
        <f>D24*B27</f>
        <v>130000</v>
      </c>
    </row>
    <row r="28" spans="1:5" x14ac:dyDescent="0.25">
      <c r="A28" s="2" t="s">
        <v>15</v>
      </c>
      <c r="B28" s="12"/>
      <c r="D28" s="9">
        <f>SUM(D26:D27)</f>
        <v>280000</v>
      </c>
    </row>
    <row r="29" spans="1:5" x14ac:dyDescent="0.25">
      <c r="A29" s="2"/>
      <c r="B29" s="12"/>
      <c r="D29" s="9"/>
    </row>
    <row r="30" spans="1:5" x14ac:dyDescent="0.25">
      <c r="A30" s="17" t="s">
        <v>29</v>
      </c>
      <c r="B30" s="12"/>
      <c r="D30" s="18">
        <v>1280000</v>
      </c>
    </row>
    <row r="31" spans="1:5" x14ac:dyDescent="0.25">
      <c r="A31" s="2"/>
      <c r="B31" s="12"/>
      <c r="D31" s="9"/>
    </row>
    <row r="32" spans="1:5" x14ac:dyDescent="0.25">
      <c r="A32" s="2" t="s">
        <v>1203</v>
      </c>
      <c r="B32" s="12"/>
      <c r="D32" s="9">
        <f>SUM(D18+D22+D27)</f>
        <v>3645179.1999999997</v>
      </c>
    </row>
    <row r="33" spans="1:7" x14ac:dyDescent="0.25">
      <c r="B33" s="7"/>
      <c r="C33" s="7"/>
      <c r="D33" s="7"/>
    </row>
    <row r="34" spans="1:7" x14ac:dyDescent="0.25">
      <c r="A34" s="247" t="s">
        <v>829</v>
      </c>
      <c r="B34" s="7"/>
      <c r="C34" s="7"/>
      <c r="D34" s="7">
        <f>SUM('KÖH kiadás'!F117)</f>
        <v>216000</v>
      </c>
    </row>
    <row r="35" spans="1:7" x14ac:dyDescent="0.25">
      <c r="A35" s="1" t="s">
        <v>17</v>
      </c>
      <c r="B35" s="7"/>
      <c r="C35" s="7"/>
      <c r="D35" s="7">
        <f>SUM('KÖH kiadás'!F120)</f>
        <v>150000</v>
      </c>
    </row>
    <row r="36" spans="1:7" ht="15.75" thickBot="1" x14ac:dyDescent="0.3">
      <c r="B36" s="7"/>
      <c r="C36" s="7"/>
      <c r="D36" s="9"/>
      <c r="G36" s="7"/>
    </row>
    <row r="37" spans="1:7" ht="15.75" thickBot="1" x14ac:dyDescent="0.3">
      <c r="B37" s="7"/>
      <c r="C37" s="7"/>
      <c r="D37" s="252">
        <f>SUM('KÖH kiadás'!G124+'KÖH kiadás'!G137)</f>
        <v>30886571.600000001</v>
      </c>
      <c r="E37" s="316"/>
    </row>
    <row r="38" spans="1:7" ht="15.75" thickBot="1" x14ac:dyDescent="0.3">
      <c r="B38" s="7"/>
      <c r="C38" s="7"/>
      <c r="D38" s="7"/>
    </row>
    <row r="39" spans="1:7" ht="15.75" thickBot="1" x14ac:dyDescent="0.3">
      <c r="A39" s="322" t="s">
        <v>0</v>
      </c>
      <c r="B39" s="23">
        <v>2021</v>
      </c>
      <c r="C39" s="23">
        <v>2022</v>
      </c>
      <c r="D39" s="3" t="s">
        <v>8</v>
      </c>
    </row>
    <row r="40" spans="1:7" x14ac:dyDescent="0.25">
      <c r="D40" s="7"/>
    </row>
    <row r="41" spans="1:7" x14ac:dyDescent="0.25">
      <c r="A41" s="1" t="s">
        <v>18</v>
      </c>
      <c r="B41" s="7">
        <v>290000</v>
      </c>
      <c r="C41" s="7">
        <f>SUM('KÖH kiadás'!D189)</f>
        <v>348000</v>
      </c>
      <c r="D41" s="7">
        <f>SUM(C41*12)</f>
        <v>4176000</v>
      </c>
    </row>
    <row r="42" spans="1:7" x14ac:dyDescent="0.25">
      <c r="A42" s="1" t="s">
        <v>19</v>
      </c>
      <c r="B42" s="7">
        <v>262800</v>
      </c>
      <c r="C42" s="7">
        <v>0</v>
      </c>
      <c r="D42" s="7">
        <f t="shared" ref="D42:D45" si="1">SUM(C42*12)</f>
        <v>0</v>
      </c>
    </row>
    <row r="43" spans="1:7" x14ac:dyDescent="0.25">
      <c r="A43" s="675" t="s">
        <v>1311</v>
      </c>
      <c r="B43" s="7">
        <v>310000</v>
      </c>
      <c r="C43" s="7">
        <f>SUM('KÖH kiadás'!D195)</f>
        <v>372000</v>
      </c>
      <c r="D43" s="7">
        <f t="shared" si="1"/>
        <v>4464000</v>
      </c>
    </row>
    <row r="44" spans="1:7" x14ac:dyDescent="0.25">
      <c r="A44" s="318" t="s">
        <v>20</v>
      </c>
      <c r="B44" s="7">
        <v>310000</v>
      </c>
      <c r="C44" s="7">
        <v>0</v>
      </c>
      <c r="D44" s="7">
        <f t="shared" si="1"/>
        <v>0</v>
      </c>
    </row>
    <row r="45" spans="1:7" x14ac:dyDescent="0.25">
      <c r="A45" s="382" t="s">
        <v>1240</v>
      </c>
      <c r="B45" s="8">
        <v>262800</v>
      </c>
      <c r="C45" s="8">
        <f>SUM('KÖH kiadás'!D192)</f>
        <v>315400</v>
      </c>
      <c r="D45" s="7">
        <f t="shared" si="1"/>
        <v>3784800</v>
      </c>
    </row>
    <row r="46" spans="1:7" x14ac:dyDescent="0.25">
      <c r="B46" s="7"/>
      <c r="C46" s="7"/>
      <c r="D46" s="9">
        <f>SUM(D41:D45)</f>
        <v>12424800</v>
      </c>
    </row>
    <row r="47" spans="1:7" x14ac:dyDescent="0.25">
      <c r="B47" s="7"/>
      <c r="C47" s="7"/>
      <c r="D47" s="7"/>
    </row>
    <row r="48" spans="1:7" x14ac:dyDescent="0.25">
      <c r="A48" s="1" t="s">
        <v>21</v>
      </c>
      <c r="B48" s="7"/>
      <c r="C48" s="7"/>
      <c r="D48" s="9">
        <f>SUM('KÖH kiadás'!E213)</f>
        <v>1647480</v>
      </c>
    </row>
    <row r="49" spans="1:5" x14ac:dyDescent="0.25">
      <c r="B49" s="7"/>
      <c r="C49" s="7"/>
      <c r="D49" s="9"/>
    </row>
    <row r="50" spans="1:5" x14ac:dyDescent="0.25">
      <c r="A50" s="1" t="s">
        <v>7</v>
      </c>
      <c r="B50" s="7"/>
      <c r="C50" s="7"/>
      <c r="D50" s="9">
        <f>SUM('KÖH kiadás'!F199)</f>
        <v>600000</v>
      </c>
    </row>
    <row r="51" spans="1:5" x14ac:dyDescent="0.25">
      <c r="B51" s="7"/>
      <c r="C51" s="7"/>
      <c r="D51" s="7"/>
    </row>
    <row r="52" spans="1:5" x14ac:dyDescent="0.25">
      <c r="A52" s="1" t="s">
        <v>13</v>
      </c>
      <c r="B52" s="12">
        <v>0.15</v>
      </c>
      <c r="D52" s="7">
        <f>SUM('KÖH kiadás'!E217)</f>
        <v>90000</v>
      </c>
    </row>
    <row r="53" spans="1:5" x14ac:dyDescent="0.25">
      <c r="A53" s="11" t="s">
        <v>14</v>
      </c>
      <c r="B53" s="13">
        <v>0.13</v>
      </c>
      <c r="C53" s="11"/>
      <c r="D53" s="8">
        <f>D50*B53</f>
        <v>78000</v>
      </c>
    </row>
    <row r="54" spans="1:5" x14ac:dyDescent="0.25">
      <c r="A54" s="2" t="s">
        <v>15</v>
      </c>
      <c r="B54" s="12"/>
      <c r="D54" s="9">
        <f>SUM(D52:D53)</f>
        <v>168000</v>
      </c>
    </row>
    <row r="55" spans="1:5" x14ac:dyDescent="0.25">
      <c r="B55" s="9"/>
      <c r="C55" s="9"/>
      <c r="D55" s="9"/>
    </row>
    <row r="56" spans="1:5" x14ac:dyDescent="0.25">
      <c r="A56" s="17" t="s">
        <v>29</v>
      </c>
      <c r="B56" s="12"/>
      <c r="D56" s="18">
        <v>768000</v>
      </c>
    </row>
    <row r="57" spans="1:5" x14ac:dyDescent="0.25">
      <c r="B57" s="9"/>
      <c r="C57" s="9"/>
      <c r="D57" s="9"/>
    </row>
    <row r="58" spans="1:5" x14ac:dyDescent="0.25">
      <c r="A58" s="248" t="s">
        <v>34</v>
      </c>
      <c r="B58" s="9"/>
      <c r="C58" s="9"/>
      <c r="D58" s="9">
        <f>SUM('KÖH kiadás'!F203)</f>
        <v>90000</v>
      </c>
    </row>
    <row r="59" spans="1:5" x14ac:dyDescent="0.25">
      <c r="A59" s="248" t="s">
        <v>27</v>
      </c>
      <c r="B59" s="9"/>
      <c r="C59" s="9"/>
      <c r="D59" s="9">
        <f>SUM('KÖH kiadás'!F205)</f>
        <v>150000</v>
      </c>
    </row>
    <row r="60" spans="1:5" ht="15.75" thickBot="1" x14ac:dyDescent="0.3">
      <c r="A60" s="248"/>
      <c r="B60" s="9"/>
      <c r="C60" s="9"/>
      <c r="D60" s="9"/>
    </row>
    <row r="61" spans="1:5" ht="15.75" thickBot="1" x14ac:dyDescent="0.3">
      <c r="A61" s="248"/>
      <c r="B61" s="9"/>
      <c r="C61" s="9"/>
      <c r="D61" s="253">
        <f>SUM('KÖH kiadás'!G211+'KÖH kiadás'!G219)</f>
        <v>14484480</v>
      </c>
      <c r="E61" s="317"/>
    </row>
    <row r="62" spans="1:5" ht="15.75" thickBot="1" x14ac:dyDescent="0.3">
      <c r="B62" s="9"/>
      <c r="C62" s="9"/>
      <c r="D62" s="7"/>
    </row>
    <row r="63" spans="1:5" ht="15.75" thickBot="1" x14ac:dyDescent="0.3">
      <c r="A63" s="320" t="s">
        <v>1</v>
      </c>
      <c r="B63" s="9"/>
      <c r="C63" s="9"/>
      <c r="D63" s="7"/>
    </row>
    <row r="64" spans="1:5" x14ac:dyDescent="0.25">
      <c r="B64" s="23">
        <v>2021</v>
      </c>
      <c r="C64" s="250">
        <v>2022</v>
      </c>
      <c r="D64" s="319" t="s">
        <v>8</v>
      </c>
      <c r="E64" s="3"/>
    </row>
    <row r="65" spans="1:5" x14ac:dyDescent="0.25">
      <c r="A65" s="1" t="s">
        <v>31</v>
      </c>
      <c r="B65" s="7">
        <v>262800</v>
      </c>
      <c r="C65" s="7">
        <f>SUM('KÖH kiadás'!D261)</f>
        <v>315400</v>
      </c>
      <c r="D65" s="7">
        <f>SUM(C65*12)</f>
        <v>3784800</v>
      </c>
      <c r="E65" s="7"/>
    </row>
    <row r="66" spans="1:5" x14ac:dyDescent="0.25">
      <c r="A66" s="11" t="s">
        <v>22</v>
      </c>
      <c r="B66" s="8">
        <v>145000</v>
      </c>
      <c r="C66" s="8">
        <v>0</v>
      </c>
      <c r="D66" s="7">
        <f>SUM(C66*12)</f>
        <v>0</v>
      </c>
      <c r="E66" s="7"/>
    </row>
    <row r="67" spans="1:5" x14ac:dyDescent="0.25">
      <c r="A67" s="677" t="s">
        <v>828</v>
      </c>
      <c r="B67" s="383">
        <v>140000</v>
      </c>
      <c r="C67" s="383">
        <f>SUM('KÖH kiadás'!D264)</f>
        <v>168000</v>
      </c>
      <c r="D67" s="7">
        <f>SUM(C67*12)</f>
        <v>2016000</v>
      </c>
      <c r="E67" s="7"/>
    </row>
    <row r="68" spans="1:5" x14ac:dyDescent="0.25">
      <c r="A68" s="676"/>
      <c r="B68" s="383"/>
      <c r="C68" s="383"/>
      <c r="D68" s="7"/>
      <c r="E68" s="7"/>
    </row>
    <row r="69" spans="1:5" x14ac:dyDescent="0.25">
      <c r="B69" s="7"/>
      <c r="C69" s="7"/>
      <c r="D69" s="9">
        <f>SUM(D65:D67)</f>
        <v>5800800</v>
      </c>
      <c r="E69" s="9"/>
    </row>
    <row r="70" spans="1:5" x14ac:dyDescent="0.25">
      <c r="B70" s="7"/>
      <c r="C70" s="7"/>
      <c r="D70" s="7"/>
    </row>
    <row r="71" spans="1:5" x14ac:dyDescent="0.25">
      <c r="A71" s="1" t="s">
        <v>21</v>
      </c>
      <c r="B71" s="7"/>
      <c r="C71" s="7"/>
      <c r="D71" s="9">
        <f>SUM('KÖH kiadás'!E278)</f>
        <v>821174</v>
      </c>
    </row>
    <row r="72" spans="1:5" x14ac:dyDescent="0.25">
      <c r="B72" s="7"/>
      <c r="C72" s="7"/>
      <c r="D72" s="7"/>
    </row>
    <row r="73" spans="1:5" x14ac:dyDescent="0.25">
      <c r="A73" s="74"/>
      <c r="B73" s="7"/>
      <c r="C73" s="7"/>
      <c r="D73" s="7"/>
    </row>
    <row r="74" spans="1:5" x14ac:dyDescent="0.25">
      <c r="A74" s="74" t="s">
        <v>27</v>
      </c>
      <c r="B74" s="7"/>
      <c r="C74" s="7"/>
      <c r="D74" s="7">
        <f>SUM('KÖH kiadás'!F274)</f>
        <v>0</v>
      </c>
    </row>
    <row r="75" spans="1:5" x14ac:dyDescent="0.25">
      <c r="B75" s="7"/>
      <c r="C75" s="7"/>
      <c r="D75" s="7"/>
    </row>
    <row r="76" spans="1:5" x14ac:dyDescent="0.25">
      <c r="A76" s="74"/>
      <c r="B76" s="7"/>
      <c r="C76" s="7"/>
      <c r="D76" s="7"/>
    </row>
    <row r="77" spans="1:5" x14ac:dyDescent="0.25">
      <c r="A77" s="254" t="s">
        <v>144</v>
      </c>
      <c r="D77" s="7">
        <f>SUM('KÖH kiadás'!F313)</f>
        <v>20000</v>
      </c>
    </row>
    <row r="78" spans="1:5" x14ac:dyDescent="0.25">
      <c r="A78" s="74" t="s">
        <v>176</v>
      </c>
      <c r="B78" s="7"/>
      <c r="C78" s="7"/>
      <c r="D78" s="7">
        <f>SUM('KÖH kiadás'!F272)</f>
        <v>120000</v>
      </c>
    </row>
    <row r="79" spans="1:5" x14ac:dyDescent="0.25">
      <c r="B79" s="7"/>
      <c r="C79" s="7"/>
      <c r="D79" s="7"/>
    </row>
    <row r="80" spans="1:5" x14ac:dyDescent="0.25">
      <c r="B80" s="7"/>
      <c r="C80" s="7"/>
      <c r="D80" s="9"/>
    </row>
    <row r="81" spans="1:5" x14ac:dyDescent="0.25">
      <c r="A81" s="1" t="s">
        <v>7</v>
      </c>
      <c r="B81" s="7"/>
      <c r="C81" s="7"/>
      <c r="D81" s="9">
        <f>SUM('KÖH kiadás'!F270)</f>
        <v>200000</v>
      </c>
    </row>
    <row r="82" spans="1:5" x14ac:dyDescent="0.25">
      <c r="B82" s="7"/>
      <c r="C82" s="7"/>
      <c r="D82" s="7"/>
    </row>
    <row r="83" spans="1:5" x14ac:dyDescent="0.25">
      <c r="A83" s="1" t="s">
        <v>13</v>
      </c>
      <c r="B83" s="12">
        <v>0.15</v>
      </c>
      <c r="D83" s="7">
        <f>SUM('KÖH kiadás'!E283)</f>
        <v>30000</v>
      </c>
    </row>
    <row r="84" spans="1:5" x14ac:dyDescent="0.25">
      <c r="A84" s="11" t="s">
        <v>14</v>
      </c>
      <c r="B84" s="13">
        <v>0.13</v>
      </c>
      <c r="C84" s="11"/>
      <c r="D84" s="8">
        <f>D81*B84</f>
        <v>26000</v>
      </c>
    </row>
    <row r="85" spans="1:5" x14ac:dyDescent="0.25">
      <c r="A85" s="2" t="s">
        <v>15</v>
      </c>
      <c r="B85" s="12"/>
      <c r="D85" s="9">
        <f>SUM(D83:D84)</f>
        <v>56000</v>
      </c>
    </row>
    <row r="86" spans="1:5" x14ac:dyDescent="0.25">
      <c r="B86" s="9"/>
      <c r="C86" s="9"/>
      <c r="D86" s="9"/>
    </row>
    <row r="87" spans="1:5" x14ac:dyDescent="0.25">
      <c r="A87" s="17" t="s">
        <v>29</v>
      </c>
      <c r="B87" s="12"/>
      <c r="D87" s="18">
        <f>D81+D85</f>
        <v>256000</v>
      </c>
    </row>
    <row r="88" spans="1:5" ht="15.75" thickBot="1" x14ac:dyDescent="0.3">
      <c r="A88" s="17"/>
      <c r="B88" s="12"/>
      <c r="D88" s="18"/>
    </row>
    <row r="89" spans="1:5" ht="15.75" thickBot="1" x14ac:dyDescent="0.3">
      <c r="A89" s="17"/>
      <c r="B89" s="12"/>
      <c r="D89" s="253">
        <f>SUM('KÖH kiadás'!G276+'KÖH kiadás'!G285)</f>
        <v>7132974</v>
      </c>
      <c r="E89" s="317"/>
    </row>
    <row r="90" spans="1:5" ht="15.75" thickBot="1" x14ac:dyDescent="0.3">
      <c r="C90" s="7"/>
    </row>
    <row r="91" spans="1:5" ht="15.75" thickBot="1" x14ac:dyDescent="0.3">
      <c r="A91" s="320" t="s">
        <v>4</v>
      </c>
      <c r="B91" s="9"/>
      <c r="C91" s="9"/>
      <c r="D91" s="7"/>
    </row>
    <row r="92" spans="1:5" x14ac:dyDescent="0.25">
      <c r="B92" s="23">
        <v>2021</v>
      </c>
      <c r="C92" s="23">
        <v>2022</v>
      </c>
      <c r="D92" s="3" t="s">
        <v>8</v>
      </c>
    </row>
    <row r="93" spans="1:5" x14ac:dyDescent="0.25">
      <c r="A93" s="1" t="s">
        <v>24</v>
      </c>
      <c r="B93" s="7">
        <v>267000</v>
      </c>
      <c r="C93" s="7">
        <f>SUM('KÖH kiadás'!D341)</f>
        <v>300000</v>
      </c>
      <c r="D93" s="7">
        <f>SUM(C93*12)</f>
        <v>3600000</v>
      </c>
    </row>
    <row r="94" spans="1:5" x14ac:dyDescent="0.25">
      <c r="A94" s="1" t="s">
        <v>25</v>
      </c>
      <c r="B94" s="7">
        <v>315000</v>
      </c>
      <c r="C94" s="7">
        <f>SUM('KÖH kiadás'!D338)</f>
        <v>346500</v>
      </c>
      <c r="D94" s="7">
        <f t="shared" ref="D94:D97" si="2">SUM(C94*12)</f>
        <v>4158000</v>
      </c>
    </row>
    <row r="95" spans="1:5" x14ac:dyDescent="0.25">
      <c r="A95" s="1" t="s">
        <v>26</v>
      </c>
      <c r="B95" s="7">
        <v>462000</v>
      </c>
      <c r="C95" s="7">
        <f>SUM('KÖH kiadás'!D335)</f>
        <v>508200</v>
      </c>
      <c r="D95" s="7">
        <f t="shared" si="2"/>
        <v>6098400</v>
      </c>
    </row>
    <row r="96" spans="1:5" x14ac:dyDescent="0.25">
      <c r="A96" s="675" t="s">
        <v>1299</v>
      </c>
      <c r="B96" s="7">
        <v>290000</v>
      </c>
      <c r="C96" s="7">
        <f>SUM('KÖH kiadás'!D344)</f>
        <v>319000</v>
      </c>
      <c r="D96" s="7">
        <f t="shared" si="2"/>
        <v>3828000</v>
      </c>
    </row>
    <row r="97" spans="1:6" x14ac:dyDescent="0.25">
      <c r="A97" s="1" t="s">
        <v>22</v>
      </c>
      <c r="B97" s="7">
        <v>280000</v>
      </c>
      <c r="C97" s="7">
        <v>0</v>
      </c>
      <c r="D97" s="7">
        <f t="shared" si="2"/>
        <v>0</v>
      </c>
    </row>
    <row r="98" spans="1:6" x14ac:dyDescent="0.25">
      <c r="B98" s="7">
        <f>SUM(B93:B97)</f>
        <v>1614000</v>
      </c>
      <c r="C98" s="7">
        <f>SUM(C93:C97)</f>
        <v>1473700</v>
      </c>
      <c r="D98" s="9">
        <f>SUM(D93:D97)</f>
        <v>17684400</v>
      </c>
    </row>
    <row r="99" spans="1:6" x14ac:dyDescent="0.25">
      <c r="D99" s="7"/>
    </row>
    <row r="100" spans="1:6" x14ac:dyDescent="0.25">
      <c r="A100" s="1" t="s">
        <v>27</v>
      </c>
      <c r="B100" s="7"/>
      <c r="C100" s="7">
        <f>SUM(C105)</f>
        <v>0</v>
      </c>
      <c r="D100" s="7">
        <f>SUM('KÖH kiadás'!F360)</f>
        <v>150000</v>
      </c>
    </row>
    <row r="101" spans="1:6" x14ac:dyDescent="0.25">
      <c r="A101" s="318" t="s">
        <v>34</v>
      </c>
      <c r="B101" s="7"/>
      <c r="C101" s="7"/>
      <c r="D101" s="7">
        <f>SUM('KÖH kiadás'!F358)</f>
        <v>94500</v>
      </c>
    </row>
    <row r="102" spans="1:6" x14ac:dyDescent="0.25">
      <c r="A102" s="238" t="s">
        <v>151</v>
      </c>
      <c r="B102" s="7"/>
      <c r="C102" s="7"/>
      <c r="D102" s="7">
        <f>SUM('KÖH kiadás'!F403)</f>
        <v>205000</v>
      </c>
    </row>
    <row r="103" spans="1:6" x14ac:dyDescent="0.25">
      <c r="B103" s="7"/>
      <c r="C103" s="7"/>
      <c r="D103" s="9"/>
    </row>
    <row r="104" spans="1:6" x14ac:dyDescent="0.25">
      <c r="A104" s="1" t="s">
        <v>21</v>
      </c>
      <c r="B104" s="7"/>
      <c r="C104" s="7"/>
      <c r="D104" s="9">
        <f>SUM('KÖH kiadás'!D369)</f>
        <v>2071069</v>
      </c>
    </row>
    <row r="105" spans="1:6" x14ac:dyDescent="0.25">
      <c r="B105" s="7"/>
      <c r="C105" s="7"/>
      <c r="D105" s="9"/>
    </row>
    <row r="106" spans="1:6" x14ac:dyDescent="0.25">
      <c r="A106" s="1" t="s">
        <v>7</v>
      </c>
      <c r="B106" s="7"/>
      <c r="C106" s="7"/>
      <c r="D106" s="9">
        <f>SUM('KÖH kiadás'!F352)</f>
        <v>800000</v>
      </c>
    </row>
    <row r="107" spans="1:6" x14ac:dyDescent="0.25">
      <c r="B107" s="7"/>
      <c r="C107" s="7"/>
      <c r="D107" s="7"/>
    </row>
    <row r="108" spans="1:6" x14ac:dyDescent="0.25">
      <c r="A108" s="1" t="s">
        <v>13</v>
      </c>
      <c r="B108" s="12">
        <v>0.15</v>
      </c>
      <c r="D108" s="7">
        <f>SUM('KÖH kiadás'!E372)</f>
        <v>120000</v>
      </c>
      <c r="E108" s="7"/>
      <c r="F108" s="9"/>
    </row>
    <row r="109" spans="1:6" x14ac:dyDescent="0.25">
      <c r="A109" s="11" t="s">
        <v>14</v>
      </c>
      <c r="B109" s="13">
        <v>0.13</v>
      </c>
      <c r="C109" s="11"/>
      <c r="D109" s="8">
        <f>D106*B109</f>
        <v>104000</v>
      </c>
      <c r="E109" s="9"/>
    </row>
    <row r="110" spans="1:6" x14ac:dyDescent="0.25">
      <c r="A110" s="2" t="s">
        <v>15</v>
      </c>
      <c r="B110" s="12"/>
      <c r="D110" s="9">
        <f>SUM(D108:D109)</f>
        <v>224000</v>
      </c>
      <c r="E110" s="14"/>
      <c r="F110" s="15"/>
    </row>
    <row r="111" spans="1:6" x14ac:dyDescent="0.25">
      <c r="A111" s="2"/>
      <c r="F111" s="15"/>
    </row>
    <row r="112" spans="1:6" x14ac:dyDescent="0.25">
      <c r="A112" s="17" t="s">
        <v>29</v>
      </c>
      <c r="B112" s="12"/>
      <c r="D112" s="18">
        <f>D106+D110</f>
        <v>1024000</v>
      </c>
      <c r="F112" s="15"/>
    </row>
    <row r="113" spans="1:6" x14ac:dyDescent="0.25">
      <c r="A113" s="2"/>
      <c r="F113" s="15"/>
    </row>
    <row r="114" spans="1:6" x14ac:dyDescent="0.25">
      <c r="A114" s="1" t="s">
        <v>23</v>
      </c>
      <c r="B114" s="7"/>
      <c r="C114" s="7"/>
      <c r="D114" s="7">
        <f>SUM('KÖH kiadás'!F345)</f>
        <v>1444700</v>
      </c>
      <c r="F114" s="15"/>
    </row>
    <row r="115" spans="1:6" x14ac:dyDescent="0.25">
      <c r="A115" s="2"/>
      <c r="C115" s="7"/>
      <c r="D115" s="7"/>
      <c r="F115" s="15"/>
    </row>
    <row r="116" spans="1:6" x14ac:dyDescent="0.25">
      <c r="A116" s="1" t="s">
        <v>32</v>
      </c>
      <c r="B116" s="7"/>
      <c r="C116" s="7"/>
      <c r="D116" s="9">
        <f>SUM('KÖH kiadás'!D370)</f>
        <v>187811</v>
      </c>
      <c r="E116" s="14"/>
      <c r="F116" s="16"/>
    </row>
    <row r="117" spans="1:6" ht="15.75" thickBot="1" x14ac:dyDescent="0.3"/>
    <row r="118" spans="1:6" ht="15.75" thickBot="1" x14ac:dyDescent="0.3">
      <c r="D118" s="253">
        <f>SUM('KÖH kiadás'!G365+'KÖH kiadás'!G374)</f>
        <v>22133380</v>
      </c>
      <c r="E118" s="317"/>
    </row>
    <row r="119" spans="1:6" ht="15.75" thickBot="1" x14ac:dyDescent="0.3"/>
    <row r="120" spans="1:6" ht="19.5" thickBot="1" x14ac:dyDescent="0.35">
      <c r="A120" s="251" t="s">
        <v>193</v>
      </c>
      <c r="D120" s="323">
        <f>SUM(D118+D89+D61+D37)</f>
        <v>74637405.599999994</v>
      </c>
      <c r="E120" s="316"/>
    </row>
  </sheetData>
  <mergeCells count="1">
    <mergeCell ref="A1:E1"/>
  </mergeCells>
  <phoneticPr fontId="4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200" verticalDpi="200" r:id="rId1"/>
  <rowBreaks count="2" manualBreakCount="2">
    <brk id="38" max="3" man="1"/>
    <brk id="54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B1" sqref="B1"/>
    </sheetView>
  </sheetViews>
  <sheetFormatPr defaultRowHeight="15" x14ac:dyDescent="0.25"/>
  <cols>
    <col min="1" max="1" width="4.28515625" style="136" customWidth="1"/>
    <col min="2" max="2" width="36.42578125" style="136" customWidth="1"/>
    <col min="3" max="3" width="10.140625" style="136" customWidth="1"/>
    <col min="4" max="4" width="18.85546875" style="136" customWidth="1"/>
    <col min="5" max="252" width="8.7109375" style="136"/>
    <col min="253" max="253" width="36.42578125" style="136" customWidth="1"/>
    <col min="254" max="254" width="10.140625" style="136" customWidth="1"/>
    <col min="255" max="255" width="18.85546875" style="136" customWidth="1"/>
    <col min="256" max="256" width="17.28515625" style="136" customWidth="1"/>
    <col min="257" max="257" width="17.5703125" style="136" customWidth="1"/>
    <col min="258" max="258" width="17.7109375" style="136" customWidth="1"/>
    <col min="259" max="259" width="17.140625" style="136" customWidth="1"/>
    <col min="260" max="260" width="17.7109375" style="136" customWidth="1"/>
    <col min="261" max="508" width="8.7109375" style="136"/>
    <col min="509" max="509" width="36.42578125" style="136" customWidth="1"/>
    <col min="510" max="510" width="10.140625" style="136" customWidth="1"/>
    <col min="511" max="511" width="18.85546875" style="136" customWidth="1"/>
    <col min="512" max="512" width="17.28515625" style="136" customWidth="1"/>
    <col min="513" max="513" width="17.5703125" style="136" customWidth="1"/>
    <col min="514" max="514" width="17.7109375" style="136" customWidth="1"/>
    <col min="515" max="515" width="17.140625" style="136" customWidth="1"/>
    <col min="516" max="516" width="17.7109375" style="136" customWidth="1"/>
    <col min="517" max="764" width="8.7109375" style="136"/>
    <col min="765" max="765" width="36.42578125" style="136" customWidth="1"/>
    <col min="766" max="766" width="10.140625" style="136" customWidth="1"/>
    <col min="767" max="767" width="18.85546875" style="136" customWidth="1"/>
    <col min="768" max="768" width="17.28515625" style="136" customWidth="1"/>
    <col min="769" max="769" width="17.5703125" style="136" customWidth="1"/>
    <col min="770" max="770" width="17.7109375" style="136" customWidth="1"/>
    <col min="771" max="771" width="17.140625" style="136" customWidth="1"/>
    <col min="772" max="772" width="17.7109375" style="136" customWidth="1"/>
    <col min="773" max="1020" width="8.7109375" style="136"/>
    <col min="1021" max="1021" width="36.42578125" style="136" customWidth="1"/>
    <col min="1022" max="1022" width="10.140625" style="136" customWidth="1"/>
    <col min="1023" max="1023" width="18.85546875" style="136" customWidth="1"/>
    <col min="1024" max="1024" width="17.28515625" style="136" customWidth="1"/>
    <col min="1025" max="1025" width="17.5703125" style="136" customWidth="1"/>
    <col min="1026" max="1026" width="17.7109375" style="136" customWidth="1"/>
    <col min="1027" max="1027" width="17.140625" style="136" customWidth="1"/>
    <col min="1028" max="1028" width="17.7109375" style="136" customWidth="1"/>
    <col min="1029" max="1276" width="8.7109375" style="136"/>
    <col min="1277" max="1277" width="36.42578125" style="136" customWidth="1"/>
    <col min="1278" max="1278" width="10.140625" style="136" customWidth="1"/>
    <col min="1279" max="1279" width="18.85546875" style="136" customWidth="1"/>
    <col min="1280" max="1280" width="17.28515625" style="136" customWidth="1"/>
    <col min="1281" max="1281" width="17.5703125" style="136" customWidth="1"/>
    <col min="1282" max="1282" width="17.7109375" style="136" customWidth="1"/>
    <col min="1283" max="1283" width="17.140625" style="136" customWidth="1"/>
    <col min="1284" max="1284" width="17.7109375" style="136" customWidth="1"/>
    <col min="1285" max="1532" width="8.7109375" style="136"/>
    <col min="1533" max="1533" width="36.42578125" style="136" customWidth="1"/>
    <col min="1534" max="1534" width="10.140625" style="136" customWidth="1"/>
    <col min="1535" max="1535" width="18.85546875" style="136" customWidth="1"/>
    <col min="1536" max="1536" width="17.28515625" style="136" customWidth="1"/>
    <col min="1537" max="1537" width="17.5703125" style="136" customWidth="1"/>
    <col min="1538" max="1538" width="17.7109375" style="136" customWidth="1"/>
    <col min="1539" max="1539" width="17.140625" style="136" customWidth="1"/>
    <col min="1540" max="1540" width="17.7109375" style="136" customWidth="1"/>
    <col min="1541" max="1788" width="8.7109375" style="136"/>
    <col min="1789" max="1789" width="36.42578125" style="136" customWidth="1"/>
    <col min="1790" max="1790" width="10.140625" style="136" customWidth="1"/>
    <col min="1791" max="1791" width="18.85546875" style="136" customWidth="1"/>
    <col min="1792" max="1792" width="17.28515625" style="136" customWidth="1"/>
    <col min="1793" max="1793" width="17.5703125" style="136" customWidth="1"/>
    <col min="1794" max="1794" width="17.7109375" style="136" customWidth="1"/>
    <col min="1795" max="1795" width="17.140625" style="136" customWidth="1"/>
    <col min="1796" max="1796" width="17.7109375" style="136" customWidth="1"/>
    <col min="1797" max="2044" width="8.7109375" style="136"/>
    <col min="2045" max="2045" width="36.42578125" style="136" customWidth="1"/>
    <col min="2046" max="2046" width="10.140625" style="136" customWidth="1"/>
    <col min="2047" max="2047" width="18.85546875" style="136" customWidth="1"/>
    <col min="2048" max="2048" width="17.28515625" style="136" customWidth="1"/>
    <col min="2049" max="2049" width="17.5703125" style="136" customWidth="1"/>
    <col min="2050" max="2050" width="17.7109375" style="136" customWidth="1"/>
    <col min="2051" max="2051" width="17.140625" style="136" customWidth="1"/>
    <col min="2052" max="2052" width="17.7109375" style="136" customWidth="1"/>
    <col min="2053" max="2300" width="8.7109375" style="136"/>
    <col min="2301" max="2301" width="36.42578125" style="136" customWidth="1"/>
    <col min="2302" max="2302" width="10.140625" style="136" customWidth="1"/>
    <col min="2303" max="2303" width="18.85546875" style="136" customWidth="1"/>
    <col min="2304" max="2304" width="17.28515625" style="136" customWidth="1"/>
    <col min="2305" max="2305" width="17.5703125" style="136" customWidth="1"/>
    <col min="2306" max="2306" width="17.7109375" style="136" customWidth="1"/>
    <col min="2307" max="2307" width="17.140625" style="136" customWidth="1"/>
    <col min="2308" max="2308" width="17.7109375" style="136" customWidth="1"/>
    <col min="2309" max="2556" width="8.7109375" style="136"/>
    <col min="2557" max="2557" width="36.42578125" style="136" customWidth="1"/>
    <col min="2558" max="2558" width="10.140625" style="136" customWidth="1"/>
    <col min="2559" max="2559" width="18.85546875" style="136" customWidth="1"/>
    <col min="2560" max="2560" width="17.28515625" style="136" customWidth="1"/>
    <col min="2561" max="2561" width="17.5703125" style="136" customWidth="1"/>
    <col min="2562" max="2562" width="17.7109375" style="136" customWidth="1"/>
    <col min="2563" max="2563" width="17.140625" style="136" customWidth="1"/>
    <col min="2564" max="2564" width="17.7109375" style="136" customWidth="1"/>
    <col min="2565" max="2812" width="8.7109375" style="136"/>
    <col min="2813" max="2813" width="36.42578125" style="136" customWidth="1"/>
    <col min="2814" max="2814" width="10.140625" style="136" customWidth="1"/>
    <col min="2815" max="2815" width="18.85546875" style="136" customWidth="1"/>
    <col min="2816" max="2816" width="17.28515625" style="136" customWidth="1"/>
    <col min="2817" max="2817" width="17.5703125" style="136" customWidth="1"/>
    <col min="2818" max="2818" width="17.7109375" style="136" customWidth="1"/>
    <col min="2819" max="2819" width="17.140625" style="136" customWidth="1"/>
    <col min="2820" max="2820" width="17.7109375" style="136" customWidth="1"/>
    <col min="2821" max="3068" width="8.7109375" style="136"/>
    <col min="3069" max="3069" width="36.42578125" style="136" customWidth="1"/>
    <col min="3070" max="3070" width="10.140625" style="136" customWidth="1"/>
    <col min="3071" max="3071" width="18.85546875" style="136" customWidth="1"/>
    <col min="3072" max="3072" width="17.28515625" style="136" customWidth="1"/>
    <col min="3073" max="3073" width="17.5703125" style="136" customWidth="1"/>
    <col min="3074" max="3074" width="17.7109375" style="136" customWidth="1"/>
    <col min="3075" max="3075" width="17.140625" style="136" customWidth="1"/>
    <col min="3076" max="3076" width="17.7109375" style="136" customWidth="1"/>
    <col min="3077" max="3324" width="8.7109375" style="136"/>
    <col min="3325" max="3325" width="36.42578125" style="136" customWidth="1"/>
    <col min="3326" max="3326" width="10.140625" style="136" customWidth="1"/>
    <col min="3327" max="3327" width="18.85546875" style="136" customWidth="1"/>
    <col min="3328" max="3328" width="17.28515625" style="136" customWidth="1"/>
    <col min="3329" max="3329" width="17.5703125" style="136" customWidth="1"/>
    <col min="3330" max="3330" width="17.7109375" style="136" customWidth="1"/>
    <col min="3331" max="3331" width="17.140625" style="136" customWidth="1"/>
    <col min="3332" max="3332" width="17.7109375" style="136" customWidth="1"/>
    <col min="3333" max="3580" width="8.7109375" style="136"/>
    <col min="3581" max="3581" width="36.42578125" style="136" customWidth="1"/>
    <col min="3582" max="3582" width="10.140625" style="136" customWidth="1"/>
    <col min="3583" max="3583" width="18.85546875" style="136" customWidth="1"/>
    <col min="3584" max="3584" width="17.28515625" style="136" customWidth="1"/>
    <col min="3585" max="3585" width="17.5703125" style="136" customWidth="1"/>
    <col min="3586" max="3586" width="17.7109375" style="136" customWidth="1"/>
    <col min="3587" max="3587" width="17.140625" style="136" customWidth="1"/>
    <col min="3588" max="3588" width="17.7109375" style="136" customWidth="1"/>
    <col min="3589" max="3836" width="8.7109375" style="136"/>
    <col min="3837" max="3837" width="36.42578125" style="136" customWidth="1"/>
    <col min="3838" max="3838" width="10.140625" style="136" customWidth="1"/>
    <col min="3839" max="3839" width="18.85546875" style="136" customWidth="1"/>
    <col min="3840" max="3840" width="17.28515625" style="136" customWidth="1"/>
    <col min="3841" max="3841" width="17.5703125" style="136" customWidth="1"/>
    <col min="3842" max="3842" width="17.7109375" style="136" customWidth="1"/>
    <col min="3843" max="3843" width="17.140625" style="136" customWidth="1"/>
    <col min="3844" max="3844" width="17.7109375" style="136" customWidth="1"/>
    <col min="3845" max="4092" width="8.7109375" style="136"/>
    <col min="4093" max="4093" width="36.42578125" style="136" customWidth="1"/>
    <col min="4094" max="4094" width="10.140625" style="136" customWidth="1"/>
    <col min="4095" max="4095" width="18.85546875" style="136" customWidth="1"/>
    <col min="4096" max="4096" width="17.28515625" style="136" customWidth="1"/>
    <col min="4097" max="4097" width="17.5703125" style="136" customWidth="1"/>
    <col min="4098" max="4098" width="17.7109375" style="136" customWidth="1"/>
    <col min="4099" max="4099" width="17.140625" style="136" customWidth="1"/>
    <col min="4100" max="4100" width="17.7109375" style="136" customWidth="1"/>
    <col min="4101" max="4348" width="8.7109375" style="136"/>
    <col min="4349" max="4349" width="36.42578125" style="136" customWidth="1"/>
    <col min="4350" max="4350" width="10.140625" style="136" customWidth="1"/>
    <col min="4351" max="4351" width="18.85546875" style="136" customWidth="1"/>
    <col min="4352" max="4352" width="17.28515625" style="136" customWidth="1"/>
    <col min="4353" max="4353" width="17.5703125" style="136" customWidth="1"/>
    <col min="4354" max="4354" width="17.7109375" style="136" customWidth="1"/>
    <col min="4355" max="4355" width="17.140625" style="136" customWidth="1"/>
    <col min="4356" max="4356" width="17.7109375" style="136" customWidth="1"/>
    <col min="4357" max="4604" width="8.7109375" style="136"/>
    <col min="4605" max="4605" width="36.42578125" style="136" customWidth="1"/>
    <col min="4606" max="4606" width="10.140625" style="136" customWidth="1"/>
    <col min="4607" max="4607" width="18.85546875" style="136" customWidth="1"/>
    <col min="4608" max="4608" width="17.28515625" style="136" customWidth="1"/>
    <col min="4609" max="4609" width="17.5703125" style="136" customWidth="1"/>
    <col min="4610" max="4610" width="17.7109375" style="136" customWidth="1"/>
    <col min="4611" max="4611" width="17.140625" style="136" customWidth="1"/>
    <col min="4612" max="4612" width="17.7109375" style="136" customWidth="1"/>
    <col min="4613" max="4860" width="8.7109375" style="136"/>
    <col min="4861" max="4861" width="36.42578125" style="136" customWidth="1"/>
    <col min="4862" max="4862" width="10.140625" style="136" customWidth="1"/>
    <col min="4863" max="4863" width="18.85546875" style="136" customWidth="1"/>
    <col min="4864" max="4864" width="17.28515625" style="136" customWidth="1"/>
    <col min="4865" max="4865" width="17.5703125" style="136" customWidth="1"/>
    <col min="4866" max="4866" width="17.7109375" style="136" customWidth="1"/>
    <col min="4867" max="4867" width="17.140625" style="136" customWidth="1"/>
    <col min="4868" max="4868" width="17.7109375" style="136" customWidth="1"/>
    <col min="4869" max="5116" width="8.7109375" style="136"/>
    <col min="5117" max="5117" width="36.42578125" style="136" customWidth="1"/>
    <col min="5118" max="5118" width="10.140625" style="136" customWidth="1"/>
    <col min="5119" max="5119" width="18.85546875" style="136" customWidth="1"/>
    <col min="5120" max="5120" width="17.28515625" style="136" customWidth="1"/>
    <col min="5121" max="5121" width="17.5703125" style="136" customWidth="1"/>
    <col min="5122" max="5122" width="17.7109375" style="136" customWidth="1"/>
    <col min="5123" max="5123" width="17.140625" style="136" customWidth="1"/>
    <col min="5124" max="5124" width="17.7109375" style="136" customWidth="1"/>
    <col min="5125" max="5372" width="8.7109375" style="136"/>
    <col min="5373" max="5373" width="36.42578125" style="136" customWidth="1"/>
    <col min="5374" max="5374" width="10.140625" style="136" customWidth="1"/>
    <col min="5375" max="5375" width="18.85546875" style="136" customWidth="1"/>
    <col min="5376" max="5376" width="17.28515625" style="136" customWidth="1"/>
    <col min="5377" max="5377" width="17.5703125" style="136" customWidth="1"/>
    <col min="5378" max="5378" width="17.7109375" style="136" customWidth="1"/>
    <col min="5379" max="5379" width="17.140625" style="136" customWidth="1"/>
    <col min="5380" max="5380" width="17.7109375" style="136" customWidth="1"/>
    <col min="5381" max="5628" width="8.7109375" style="136"/>
    <col min="5629" max="5629" width="36.42578125" style="136" customWidth="1"/>
    <col min="5630" max="5630" width="10.140625" style="136" customWidth="1"/>
    <col min="5631" max="5631" width="18.85546875" style="136" customWidth="1"/>
    <col min="5632" max="5632" width="17.28515625" style="136" customWidth="1"/>
    <col min="5633" max="5633" width="17.5703125" style="136" customWidth="1"/>
    <col min="5634" max="5634" width="17.7109375" style="136" customWidth="1"/>
    <col min="5635" max="5635" width="17.140625" style="136" customWidth="1"/>
    <col min="5636" max="5636" width="17.7109375" style="136" customWidth="1"/>
    <col min="5637" max="5884" width="8.7109375" style="136"/>
    <col min="5885" max="5885" width="36.42578125" style="136" customWidth="1"/>
    <col min="5886" max="5886" width="10.140625" style="136" customWidth="1"/>
    <col min="5887" max="5887" width="18.85546875" style="136" customWidth="1"/>
    <col min="5888" max="5888" width="17.28515625" style="136" customWidth="1"/>
    <col min="5889" max="5889" width="17.5703125" style="136" customWidth="1"/>
    <col min="5890" max="5890" width="17.7109375" style="136" customWidth="1"/>
    <col min="5891" max="5891" width="17.140625" style="136" customWidth="1"/>
    <col min="5892" max="5892" width="17.7109375" style="136" customWidth="1"/>
    <col min="5893" max="6140" width="8.7109375" style="136"/>
    <col min="6141" max="6141" width="36.42578125" style="136" customWidth="1"/>
    <col min="6142" max="6142" width="10.140625" style="136" customWidth="1"/>
    <col min="6143" max="6143" width="18.85546875" style="136" customWidth="1"/>
    <col min="6144" max="6144" width="17.28515625" style="136" customWidth="1"/>
    <col min="6145" max="6145" width="17.5703125" style="136" customWidth="1"/>
    <col min="6146" max="6146" width="17.7109375" style="136" customWidth="1"/>
    <col min="6147" max="6147" width="17.140625" style="136" customWidth="1"/>
    <col min="6148" max="6148" width="17.7109375" style="136" customWidth="1"/>
    <col min="6149" max="6396" width="8.7109375" style="136"/>
    <col min="6397" max="6397" width="36.42578125" style="136" customWidth="1"/>
    <col min="6398" max="6398" width="10.140625" style="136" customWidth="1"/>
    <col min="6399" max="6399" width="18.85546875" style="136" customWidth="1"/>
    <col min="6400" max="6400" width="17.28515625" style="136" customWidth="1"/>
    <col min="6401" max="6401" width="17.5703125" style="136" customWidth="1"/>
    <col min="6402" max="6402" width="17.7109375" style="136" customWidth="1"/>
    <col min="6403" max="6403" width="17.140625" style="136" customWidth="1"/>
    <col min="6404" max="6404" width="17.7109375" style="136" customWidth="1"/>
    <col min="6405" max="6652" width="8.7109375" style="136"/>
    <col min="6653" max="6653" width="36.42578125" style="136" customWidth="1"/>
    <col min="6654" max="6654" width="10.140625" style="136" customWidth="1"/>
    <col min="6655" max="6655" width="18.85546875" style="136" customWidth="1"/>
    <col min="6656" max="6656" width="17.28515625" style="136" customWidth="1"/>
    <col min="6657" max="6657" width="17.5703125" style="136" customWidth="1"/>
    <col min="6658" max="6658" width="17.7109375" style="136" customWidth="1"/>
    <col min="6659" max="6659" width="17.140625" style="136" customWidth="1"/>
    <col min="6660" max="6660" width="17.7109375" style="136" customWidth="1"/>
    <col min="6661" max="6908" width="8.7109375" style="136"/>
    <col min="6909" max="6909" width="36.42578125" style="136" customWidth="1"/>
    <col min="6910" max="6910" width="10.140625" style="136" customWidth="1"/>
    <col min="6911" max="6911" width="18.85546875" style="136" customWidth="1"/>
    <col min="6912" max="6912" width="17.28515625" style="136" customWidth="1"/>
    <col min="6913" max="6913" width="17.5703125" style="136" customWidth="1"/>
    <col min="6914" max="6914" width="17.7109375" style="136" customWidth="1"/>
    <col min="6915" max="6915" width="17.140625" style="136" customWidth="1"/>
    <col min="6916" max="6916" width="17.7109375" style="136" customWidth="1"/>
    <col min="6917" max="7164" width="8.7109375" style="136"/>
    <col min="7165" max="7165" width="36.42578125" style="136" customWidth="1"/>
    <col min="7166" max="7166" width="10.140625" style="136" customWidth="1"/>
    <col min="7167" max="7167" width="18.85546875" style="136" customWidth="1"/>
    <col min="7168" max="7168" width="17.28515625" style="136" customWidth="1"/>
    <col min="7169" max="7169" width="17.5703125" style="136" customWidth="1"/>
    <col min="7170" max="7170" width="17.7109375" style="136" customWidth="1"/>
    <col min="7171" max="7171" width="17.140625" style="136" customWidth="1"/>
    <col min="7172" max="7172" width="17.7109375" style="136" customWidth="1"/>
    <col min="7173" max="7420" width="8.7109375" style="136"/>
    <col min="7421" max="7421" width="36.42578125" style="136" customWidth="1"/>
    <col min="7422" max="7422" width="10.140625" style="136" customWidth="1"/>
    <col min="7423" max="7423" width="18.85546875" style="136" customWidth="1"/>
    <col min="7424" max="7424" width="17.28515625" style="136" customWidth="1"/>
    <col min="7425" max="7425" width="17.5703125" style="136" customWidth="1"/>
    <col min="7426" max="7426" width="17.7109375" style="136" customWidth="1"/>
    <col min="7427" max="7427" width="17.140625" style="136" customWidth="1"/>
    <col min="7428" max="7428" width="17.7109375" style="136" customWidth="1"/>
    <col min="7429" max="7676" width="8.7109375" style="136"/>
    <col min="7677" max="7677" width="36.42578125" style="136" customWidth="1"/>
    <col min="7678" max="7678" width="10.140625" style="136" customWidth="1"/>
    <col min="7679" max="7679" width="18.85546875" style="136" customWidth="1"/>
    <col min="7680" max="7680" width="17.28515625" style="136" customWidth="1"/>
    <col min="7681" max="7681" width="17.5703125" style="136" customWidth="1"/>
    <col min="7682" max="7682" width="17.7109375" style="136" customWidth="1"/>
    <col min="7683" max="7683" width="17.140625" style="136" customWidth="1"/>
    <col min="7684" max="7684" width="17.7109375" style="136" customWidth="1"/>
    <col min="7685" max="7932" width="8.7109375" style="136"/>
    <col min="7933" max="7933" width="36.42578125" style="136" customWidth="1"/>
    <col min="7934" max="7934" width="10.140625" style="136" customWidth="1"/>
    <col min="7935" max="7935" width="18.85546875" style="136" customWidth="1"/>
    <col min="7936" max="7936" width="17.28515625" style="136" customWidth="1"/>
    <col min="7937" max="7937" width="17.5703125" style="136" customWidth="1"/>
    <col min="7938" max="7938" width="17.7109375" style="136" customWidth="1"/>
    <col min="7939" max="7939" width="17.140625" style="136" customWidth="1"/>
    <col min="7940" max="7940" width="17.7109375" style="136" customWidth="1"/>
    <col min="7941" max="8188" width="8.7109375" style="136"/>
    <col min="8189" max="8189" width="36.42578125" style="136" customWidth="1"/>
    <col min="8190" max="8190" width="10.140625" style="136" customWidth="1"/>
    <col min="8191" max="8191" width="18.85546875" style="136" customWidth="1"/>
    <col min="8192" max="8192" width="17.28515625" style="136" customWidth="1"/>
    <col min="8193" max="8193" width="17.5703125" style="136" customWidth="1"/>
    <col min="8194" max="8194" width="17.7109375" style="136" customWidth="1"/>
    <col min="8195" max="8195" width="17.140625" style="136" customWidth="1"/>
    <col min="8196" max="8196" width="17.7109375" style="136" customWidth="1"/>
    <col min="8197" max="8444" width="8.7109375" style="136"/>
    <col min="8445" max="8445" width="36.42578125" style="136" customWidth="1"/>
    <col min="8446" max="8446" width="10.140625" style="136" customWidth="1"/>
    <col min="8447" max="8447" width="18.85546875" style="136" customWidth="1"/>
    <col min="8448" max="8448" width="17.28515625" style="136" customWidth="1"/>
    <col min="8449" max="8449" width="17.5703125" style="136" customWidth="1"/>
    <col min="8450" max="8450" width="17.7109375" style="136" customWidth="1"/>
    <col min="8451" max="8451" width="17.140625" style="136" customWidth="1"/>
    <col min="8452" max="8452" width="17.7109375" style="136" customWidth="1"/>
    <col min="8453" max="8700" width="8.7109375" style="136"/>
    <col min="8701" max="8701" width="36.42578125" style="136" customWidth="1"/>
    <col min="8702" max="8702" width="10.140625" style="136" customWidth="1"/>
    <col min="8703" max="8703" width="18.85546875" style="136" customWidth="1"/>
    <col min="8704" max="8704" width="17.28515625" style="136" customWidth="1"/>
    <col min="8705" max="8705" width="17.5703125" style="136" customWidth="1"/>
    <col min="8706" max="8706" width="17.7109375" style="136" customWidth="1"/>
    <col min="8707" max="8707" width="17.140625" style="136" customWidth="1"/>
    <col min="8708" max="8708" width="17.7109375" style="136" customWidth="1"/>
    <col min="8709" max="8956" width="8.7109375" style="136"/>
    <col min="8957" max="8957" width="36.42578125" style="136" customWidth="1"/>
    <col min="8958" max="8958" width="10.140625" style="136" customWidth="1"/>
    <col min="8959" max="8959" width="18.85546875" style="136" customWidth="1"/>
    <col min="8960" max="8960" width="17.28515625" style="136" customWidth="1"/>
    <col min="8961" max="8961" width="17.5703125" style="136" customWidth="1"/>
    <col min="8962" max="8962" width="17.7109375" style="136" customWidth="1"/>
    <col min="8963" max="8963" width="17.140625" style="136" customWidth="1"/>
    <col min="8964" max="8964" width="17.7109375" style="136" customWidth="1"/>
    <col min="8965" max="9212" width="8.7109375" style="136"/>
    <col min="9213" max="9213" width="36.42578125" style="136" customWidth="1"/>
    <col min="9214" max="9214" width="10.140625" style="136" customWidth="1"/>
    <col min="9215" max="9215" width="18.85546875" style="136" customWidth="1"/>
    <col min="9216" max="9216" width="17.28515625" style="136" customWidth="1"/>
    <col min="9217" max="9217" width="17.5703125" style="136" customWidth="1"/>
    <col min="9218" max="9218" width="17.7109375" style="136" customWidth="1"/>
    <col min="9219" max="9219" width="17.140625" style="136" customWidth="1"/>
    <col min="9220" max="9220" width="17.7109375" style="136" customWidth="1"/>
    <col min="9221" max="9468" width="8.7109375" style="136"/>
    <col min="9469" max="9469" width="36.42578125" style="136" customWidth="1"/>
    <col min="9470" max="9470" width="10.140625" style="136" customWidth="1"/>
    <col min="9471" max="9471" width="18.85546875" style="136" customWidth="1"/>
    <col min="9472" max="9472" width="17.28515625" style="136" customWidth="1"/>
    <col min="9473" max="9473" width="17.5703125" style="136" customWidth="1"/>
    <col min="9474" max="9474" width="17.7109375" style="136" customWidth="1"/>
    <col min="9475" max="9475" width="17.140625" style="136" customWidth="1"/>
    <col min="9476" max="9476" width="17.7109375" style="136" customWidth="1"/>
    <col min="9477" max="9724" width="8.7109375" style="136"/>
    <col min="9725" max="9725" width="36.42578125" style="136" customWidth="1"/>
    <col min="9726" max="9726" width="10.140625" style="136" customWidth="1"/>
    <col min="9727" max="9727" width="18.85546875" style="136" customWidth="1"/>
    <col min="9728" max="9728" width="17.28515625" style="136" customWidth="1"/>
    <col min="9729" max="9729" width="17.5703125" style="136" customWidth="1"/>
    <col min="9730" max="9730" width="17.7109375" style="136" customWidth="1"/>
    <col min="9731" max="9731" width="17.140625" style="136" customWidth="1"/>
    <col min="9732" max="9732" width="17.7109375" style="136" customWidth="1"/>
    <col min="9733" max="9980" width="8.7109375" style="136"/>
    <col min="9981" max="9981" width="36.42578125" style="136" customWidth="1"/>
    <col min="9982" max="9982" width="10.140625" style="136" customWidth="1"/>
    <col min="9983" max="9983" width="18.85546875" style="136" customWidth="1"/>
    <col min="9984" max="9984" width="17.28515625" style="136" customWidth="1"/>
    <col min="9985" max="9985" width="17.5703125" style="136" customWidth="1"/>
    <col min="9986" max="9986" width="17.7109375" style="136" customWidth="1"/>
    <col min="9987" max="9987" width="17.140625" style="136" customWidth="1"/>
    <col min="9988" max="9988" width="17.7109375" style="136" customWidth="1"/>
    <col min="9989" max="10236" width="8.7109375" style="136"/>
    <col min="10237" max="10237" width="36.42578125" style="136" customWidth="1"/>
    <col min="10238" max="10238" width="10.140625" style="136" customWidth="1"/>
    <col min="10239" max="10239" width="18.85546875" style="136" customWidth="1"/>
    <col min="10240" max="10240" width="17.28515625" style="136" customWidth="1"/>
    <col min="10241" max="10241" width="17.5703125" style="136" customWidth="1"/>
    <col min="10242" max="10242" width="17.7109375" style="136" customWidth="1"/>
    <col min="10243" max="10243" width="17.140625" style="136" customWidth="1"/>
    <col min="10244" max="10244" width="17.7109375" style="136" customWidth="1"/>
    <col min="10245" max="10492" width="8.7109375" style="136"/>
    <col min="10493" max="10493" width="36.42578125" style="136" customWidth="1"/>
    <col min="10494" max="10494" width="10.140625" style="136" customWidth="1"/>
    <col min="10495" max="10495" width="18.85546875" style="136" customWidth="1"/>
    <col min="10496" max="10496" width="17.28515625" style="136" customWidth="1"/>
    <col min="10497" max="10497" width="17.5703125" style="136" customWidth="1"/>
    <col min="10498" max="10498" width="17.7109375" style="136" customWidth="1"/>
    <col min="10499" max="10499" width="17.140625" style="136" customWidth="1"/>
    <col min="10500" max="10500" width="17.7109375" style="136" customWidth="1"/>
    <col min="10501" max="10748" width="8.7109375" style="136"/>
    <col min="10749" max="10749" width="36.42578125" style="136" customWidth="1"/>
    <col min="10750" max="10750" width="10.140625" style="136" customWidth="1"/>
    <col min="10751" max="10751" width="18.85546875" style="136" customWidth="1"/>
    <col min="10752" max="10752" width="17.28515625" style="136" customWidth="1"/>
    <col min="10753" max="10753" width="17.5703125" style="136" customWidth="1"/>
    <col min="10754" max="10754" width="17.7109375" style="136" customWidth="1"/>
    <col min="10755" max="10755" width="17.140625" style="136" customWidth="1"/>
    <col min="10756" max="10756" width="17.7109375" style="136" customWidth="1"/>
    <col min="10757" max="11004" width="8.7109375" style="136"/>
    <col min="11005" max="11005" width="36.42578125" style="136" customWidth="1"/>
    <col min="11006" max="11006" width="10.140625" style="136" customWidth="1"/>
    <col min="11007" max="11007" width="18.85546875" style="136" customWidth="1"/>
    <col min="11008" max="11008" width="17.28515625" style="136" customWidth="1"/>
    <col min="11009" max="11009" width="17.5703125" style="136" customWidth="1"/>
    <col min="11010" max="11010" width="17.7109375" style="136" customWidth="1"/>
    <col min="11011" max="11011" width="17.140625" style="136" customWidth="1"/>
    <col min="11012" max="11012" width="17.7109375" style="136" customWidth="1"/>
    <col min="11013" max="11260" width="8.7109375" style="136"/>
    <col min="11261" max="11261" width="36.42578125" style="136" customWidth="1"/>
    <col min="11262" max="11262" width="10.140625" style="136" customWidth="1"/>
    <col min="11263" max="11263" width="18.85546875" style="136" customWidth="1"/>
    <col min="11264" max="11264" width="17.28515625" style="136" customWidth="1"/>
    <col min="11265" max="11265" width="17.5703125" style="136" customWidth="1"/>
    <col min="11266" max="11266" width="17.7109375" style="136" customWidth="1"/>
    <col min="11267" max="11267" width="17.140625" style="136" customWidth="1"/>
    <col min="11268" max="11268" width="17.7109375" style="136" customWidth="1"/>
    <col min="11269" max="11516" width="8.7109375" style="136"/>
    <col min="11517" max="11517" width="36.42578125" style="136" customWidth="1"/>
    <col min="11518" max="11518" width="10.140625" style="136" customWidth="1"/>
    <col min="11519" max="11519" width="18.85546875" style="136" customWidth="1"/>
    <col min="11520" max="11520" width="17.28515625" style="136" customWidth="1"/>
    <col min="11521" max="11521" width="17.5703125" style="136" customWidth="1"/>
    <col min="11522" max="11522" width="17.7109375" style="136" customWidth="1"/>
    <col min="11523" max="11523" width="17.140625" style="136" customWidth="1"/>
    <col min="11524" max="11524" width="17.7109375" style="136" customWidth="1"/>
    <col min="11525" max="11772" width="8.7109375" style="136"/>
    <col min="11773" max="11773" width="36.42578125" style="136" customWidth="1"/>
    <col min="11774" max="11774" width="10.140625" style="136" customWidth="1"/>
    <col min="11775" max="11775" width="18.85546875" style="136" customWidth="1"/>
    <col min="11776" max="11776" width="17.28515625" style="136" customWidth="1"/>
    <col min="11777" max="11777" width="17.5703125" style="136" customWidth="1"/>
    <col min="11778" max="11778" width="17.7109375" style="136" customWidth="1"/>
    <col min="11779" max="11779" width="17.140625" style="136" customWidth="1"/>
    <col min="11780" max="11780" width="17.7109375" style="136" customWidth="1"/>
    <col min="11781" max="12028" width="8.7109375" style="136"/>
    <col min="12029" max="12029" width="36.42578125" style="136" customWidth="1"/>
    <col min="12030" max="12030" width="10.140625" style="136" customWidth="1"/>
    <col min="12031" max="12031" width="18.85546875" style="136" customWidth="1"/>
    <col min="12032" max="12032" width="17.28515625" style="136" customWidth="1"/>
    <col min="12033" max="12033" width="17.5703125" style="136" customWidth="1"/>
    <col min="12034" max="12034" width="17.7109375" style="136" customWidth="1"/>
    <col min="12035" max="12035" width="17.140625" style="136" customWidth="1"/>
    <col min="12036" max="12036" width="17.7109375" style="136" customWidth="1"/>
    <col min="12037" max="12284" width="8.7109375" style="136"/>
    <col min="12285" max="12285" width="36.42578125" style="136" customWidth="1"/>
    <col min="12286" max="12286" width="10.140625" style="136" customWidth="1"/>
    <col min="12287" max="12287" width="18.85546875" style="136" customWidth="1"/>
    <col min="12288" max="12288" width="17.28515625" style="136" customWidth="1"/>
    <col min="12289" max="12289" width="17.5703125" style="136" customWidth="1"/>
    <col min="12290" max="12290" width="17.7109375" style="136" customWidth="1"/>
    <col min="12291" max="12291" width="17.140625" style="136" customWidth="1"/>
    <col min="12292" max="12292" width="17.7109375" style="136" customWidth="1"/>
    <col min="12293" max="12540" width="8.7109375" style="136"/>
    <col min="12541" max="12541" width="36.42578125" style="136" customWidth="1"/>
    <col min="12542" max="12542" width="10.140625" style="136" customWidth="1"/>
    <col min="12543" max="12543" width="18.85546875" style="136" customWidth="1"/>
    <col min="12544" max="12544" width="17.28515625" style="136" customWidth="1"/>
    <col min="12545" max="12545" width="17.5703125" style="136" customWidth="1"/>
    <col min="12546" max="12546" width="17.7109375" style="136" customWidth="1"/>
    <col min="12547" max="12547" width="17.140625" style="136" customWidth="1"/>
    <col min="12548" max="12548" width="17.7109375" style="136" customWidth="1"/>
    <col min="12549" max="12796" width="8.7109375" style="136"/>
    <col min="12797" max="12797" width="36.42578125" style="136" customWidth="1"/>
    <col min="12798" max="12798" width="10.140625" style="136" customWidth="1"/>
    <col min="12799" max="12799" width="18.85546875" style="136" customWidth="1"/>
    <col min="12800" max="12800" width="17.28515625" style="136" customWidth="1"/>
    <col min="12801" max="12801" width="17.5703125" style="136" customWidth="1"/>
    <col min="12802" max="12802" width="17.7109375" style="136" customWidth="1"/>
    <col min="12803" max="12803" width="17.140625" style="136" customWidth="1"/>
    <col min="12804" max="12804" width="17.7109375" style="136" customWidth="1"/>
    <col min="12805" max="13052" width="8.7109375" style="136"/>
    <col min="13053" max="13053" width="36.42578125" style="136" customWidth="1"/>
    <col min="13054" max="13054" width="10.140625" style="136" customWidth="1"/>
    <col min="13055" max="13055" width="18.85546875" style="136" customWidth="1"/>
    <col min="13056" max="13056" width="17.28515625" style="136" customWidth="1"/>
    <col min="13057" max="13057" width="17.5703125" style="136" customWidth="1"/>
    <col min="13058" max="13058" width="17.7109375" style="136" customWidth="1"/>
    <col min="13059" max="13059" width="17.140625" style="136" customWidth="1"/>
    <col min="13060" max="13060" width="17.7109375" style="136" customWidth="1"/>
    <col min="13061" max="13308" width="8.7109375" style="136"/>
    <col min="13309" max="13309" width="36.42578125" style="136" customWidth="1"/>
    <col min="13310" max="13310" width="10.140625" style="136" customWidth="1"/>
    <col min="13311" max="13311" width="18.85546875" style="136" customWidth="1"/>
    <col min="13312" max="13312" width="17.28515625" style="136" customWidth="1"/>
    <col min="13313" max="13313" width="17.5703125" style="136" customWidth="1"/>
    <col min="13314" max="13314" width="17.7109375" style="136" customWidth="1"/>
    <col min="13315" max="13315" width="17.140625" style="136" customWidth="1"/>
    <col min="13316" max="13316" width="17.7109375" style="136" customWidth="1"/>
    <col min="13317" max="13564" width="8.7109375" style="136"/>
    <col min="13565" max="13565" width="36.42578125" style="136" customWidth="1"/>
    <col min="13566" max="13566" width="10.140625" style="136" customWidth="1"/>
    <col min="13567" max="13567" width="18.85546875" style="136" customWidth="1"/>
    <col min="13568" max="13568" width="17.28515625" style="136" customWidth="1"/>
    <col min="13569" max="13569" width="17.5703125" style="136" customWidth="1"/>
    <col min="13570" max="13570" width="17.7109375" style="136" customWidth="1"/>
    <col min="13571" max="13571" width="17.140625" style="136" customWidth="1"/>
    <col min="13572" max="13572" width="17.7109375" style="136" customWidth="1"/>
    <col min="13573" max="13820" width="8.7109375" style="136"/>
    <col min="13821" max="13821" width="36.42578125" style="136" customWidth="1"/>
    <col min="13822" max="13822" width="10.140625" style="136" customWidth="1"/>
    <col min="13823" max="13823" width="18.85546875" style="136" customWidth="1"/>
    <col min="13824" max="13824" width="17.28515625" style="136" customWidth="1"/>
    <col min="13825" max="13825" width="17.5703125" style="136" customWidth="1"/>
    <col min="13826" max="13826" width="17.7109375" style="136" customWidth="1"/>
    <col min="13827" max="13827" width="17.140625" style="136" customWidth="1"/>
    <col min="13828" max="13828" width="17.7109375" style="136" customWidth="1"/>
    <col min="13829" max="14076" width="8.7109375" style="136"/>
    <col min="14077" max="14077" width="36.42578125" style="136" customWidth="1"/>
    <col min="14078" max="14078" width="10.140625" style="136" customWidth="1"/>
    <col min="14079" max="14079" width="18.85546875" style="136" customWidth="1"/>
    <col min="14080" max="14080" width="17.28515625" style="136" customWidth="1"/>
    <col min="14081" max="14081" width="17.5703125" style="136" customWidth="1"/>
    <col min="14082" max="14082" width="17.7109375" style="136" customWidth="1"/>
    <col min="14083" max="14083" width="17.140625" style="136" customWidth="1"/>
    <col min="14084" max="14084" width="17.7109375" style="136" customWidth="1"/>
    <col min="14085" max="14332" width="8.7109375" style="136"/>
    <col min="14333" max="14333" width="36.42578125" style="136" customWidth="1"/>
    <col min="14334" max="14334" width="10.140625" style="136" customWidth="1"/>
    <col min="14335" max="14335" width="18.85546875" style="136" customWidth="1"/>
    <col min="14336" max="14336" width="17.28515625" style="136" customWidth="1"/>
    <col min="14337" max="14337" width="17.5703125" style="136" customWidth="1"/>
    <col min="14338" max="14338" width="17.7109375" style="136" customWidth="1"/>
    <col min="14339" max="14339" width="17.140625" style="136" customWidth="1"/>
    <col min="14340" max="14340" width="17.7109375" style="136" customWidth="1"/>
    <col min="14341" max="14588" width="8.7109375" style="136"/>
    <col min="14589" max="14589" width="36.42578125" style="136" customWidth="1"/>
    <col min="14590" max="14590" width="10.140625" style="136" customWidth="1"/>
    <col min="14591" max="14591" width="18.85546875" style="136" customWidth="1"/>
    <col min="14592" max="14592" width="17.28515625" style="136" customWidth="1"/>
    <col min="14593" max="14593" width="17.5703125" style="136" customWidth="1"/>
    <col min="14594" max="14594" width="17.7109375" style="136" customWidth="1"/>
    <col min="14595" max="14595" width="17.140625" style="136" customWidth="1"/>
    <col min="14596" max="14596" width="17.7109375" style="136" customWidth="1"/>
    <col min="14597" max="14844" width="8.7109375" style="136"/>
    <col min="14845" max="14845" width="36.42578125" style="136" customWidth="1"/>
    <col min="14846" max="14846" width="10.140625" style="136" customWidth="1"/>
    <col min="14847" max="14847" width="18.85546875" style="136" customWidth="1"/>
    <col min="14848" max="14848" width="17.28515625" style="136" customWidth="1"/>
    <col min="14849" max="14849" width="17.5703125" style="136" customWidth="1"/>
    <col min="14850" max="14850" width="17.7109375" style="136" customWidth="1"/>
    <col min="14851" max="14851" width="17.140625" style="136" customWidth="1"/>
    <col min="14852" max="14852" width="17.7109375" style="136" customWidth="1"/>
    <col min="14853" max="15100" width="8.7109375" style="136"/>
    <col min="15101" max="15101" width="36.42578125" style="136" customWidth="1"/>
    <col min="15102" max="15102" width="10.140625" style="136" customWidth="1"/>
    <col min="15103" max="15103" width="18.85546875" style="136" customWidth="1"/>
    <col min="15104" max="15104" width="17.28515625" style="136" customWidth="1"/>
    <col min="15105" max="15105" width="17.5703125" style="136" customWidth="1"/>
    <col min="15106" max="15106" width="17.7109375" style="136" customWidth="1"/>
    <col min="15107" max="15107" width="17.140625" style="136" customWidth="1"/>
    <col min="15108" max="15108" width="17.7109375" style="136" customWidth="1"/>
    <col min="15109" max="15356" width="8.7109375" style="136"/>
    <col min="15357" max="15357" width="36.42578125" style="136" customWidth="1"/>
    <col min="15358" max="15358" width="10.140625" style="136" customWidth="1"/>
    <col min="15359" max="15359" width="18.85546875" style="136" customWidth="1"/>
    <col min="15360" max="15360" width="17.28515625" style="136" customWidth="1"/>
    <col min="15361" max="15361" width="17.5703125" style="136" customWidth="1"/>
    <col min="15362" max="15362" width="17.7109375" style="136" customWidth="1"/>
    <col min="15363" max="15363" width="17.140625" style="136" customWidth="1"/>
    <col min="15364" max="15364" width="17.7109375" style="136" customWidth="1"/>
    <col min="15365" max="15612" width="8.7109375" style="136"/>
    <col min="15613" max="15613" width="36.42578125" style="136" customWidth="1"/>
    <col min="15614" max="15614" width="10.140625" style="136" customWidth="1"/>
    <col min="15615" max="15615" width="18.85546875" style="136" customWidth="1"/>
    <col min="15616" max="15616" width="17.28515625" style="136" customWidth="1"/>
    <col min="15617" max="15617" width="17.5703125" style="136" customWidth="1"/>
    <col min="15618" max="15618" width="17.7109375" style="136" customWidth="1"/>
    <col min="15619" max="15619" width="17.140625" style="136" customWidth="1"/>
    <col min="15620" max="15620" width="17.7109375" style="136" customWidth="1"/>
    <col min="15621" max="15868" width="8.7109375" style="136"/>
    <col min="15869" max="15869" width="36.42578125" style="136" customWidth="1"/>
    <col min="15870" max="15870" width="10.140625" style="136" customWidth="1"/>
    <col min="15871" max="15871" width="18.85546875" style="136" customWidth="1"/>
    <col min="15872" max="15872" width="17.28515625" style="136" customWidth="1"/>
    <col min="15873" max="15873" width="17.5703125" style="136" customWidth="1"/>
    <col min="15874" max="15874" width="17.7109375" style="136" customWidth="1"/>
    <col min="15875" max="15875" width="17.140625" style="136" customWidth="1"/>
    <col min="15876" max="15876" width="17.7109375" style="136" customWidth="1"/>
    <col min="15877" max="16124" width="8.7109375" style="136"/>
    <col min="16125" max="16125" width="36.42578125" style="136" customWidth="1"/>
    <col min="16126" max="16126" width="10.140625" style="136" customWidth="1"/>
    <col min="16127" max="16127" width="18.85546875" style="136" customWidth="1"/>
    <col min="16128" max="16128" width="17.28515625" style="136" customWidth="1"/>
    <col min="16129" max="16129" width="17.5703125" style="136" customWidth="1"/>
    <col min="16130" max="16130" width="17.7109375" style="136" customWidth="1"/>
    <col min="16131" max="16131" width="17.140625" style="136" customWidth="1"/>
    <col min="16132" max="16132" width="17.7109375" style="136" customWidth="1"/>
    <col min="16133" max="16384" width="8.7109375" style="136"/>
  </cols>
  <sheetData>
    <row r="1" spans="1:4" x14ac:dyDescent="0.25">
      <c r="A1" s="517" t="s">
        <v>721</v>
      </c>
      <c r="B1" s="678" t="str">
        <f>'Bevételek KÖH'!B1</f>
        <v>melléklet a 4/2021.(III.08.) önkormányzati rendelethez</v>
      </c>
      <c r="C1" s="518"/>
    </row>
    <row r="2" spans="1:4" ht="24" customHeight="1" x14ac:dyDescent="0.25">
      <c r="B2" s="794" t="str">
        <f>'Kiemelt EI.'!B2:C2</f>
        <v>Az önkormányzat 2022.évi költségvetése</v>
      </c>
      <c r="C2" s="796"/>
      <c r="D2" s="796"/>
    </row>
    <row r="3" spans="1:4" ht="23.25" customHeight="1" x14ac:dyDescent="0.25">
      <c r="B3" s="795" t="s">
        <v>720</v>
      </c>
      <c r="C3" s="796"/>
      <c r="D3" s="796"/>
    </row>
    <row r="4" spans="1:4" ht="18" x14ac:dyDescent="0.25">
      <c r="B4" s="168"/>
    </row>
    <row r="6" spans="1:4" ht="30" x14ac:dyDescent="0.3">
      <c r="B6" s="167" t="s">
        <v>189</v>
      </c>
      <c r="C6" s="141" t="s">
        <v>190</v>
      </c>
      <c r="D6" s="166" t="s">
        <v>595</v>
      </c>
    </row>
    <row r="7" spans="1:4" x14ac:dyDescent="0.25">
      <c r="B7" s="145"/>
      <c r="C7" s="145"/>
      <c r="D7" s="145"/>
    </row>
    <row r="8" spans="1:4" x14ac:dyDescent="0.25">
      <c r="B8" s="145"/>
      <c r="C8" s="145"/>
      <c r="D8" s="145"/>
    </row>
    <row r="9" spans="1:4" x14ac:dyDescent="0.25">
      <c r="B9" s="145"/>
      <c r="C9" s="145"/>
      <c r="D9" s="145"/>
    </row>
    <row r="10" spans="1:4" x14ac:dyDescent="0.25">
      <c r="B10" s="145"/>
      <c r="C10" s="145"/>
      <c r="D10" s="145"/>
    </row>
    <row r="11" spans="1:4" x14ac:dyDescent="0.25">
      <c r="B11" s="153" t="s">
        <v>719</v>
      </c>
      <c r="C11" s="147" t="s">
        <v>598</v>
      </c>
      <c r="D11" s="149">
        <f>'Kiadások ÖNK'!D72</f>
        <v>243223644</v>
      </c>
    </row>
    <row r="12" spans="1:4" x14ac:dyDescent="0.25">
      <c r="B12" s="153"/>
      <c r="C12" s="147"/>
      <c r="D12" s="145"/>
    </row>
    <row r="13" spans="1:4" x14ac:dyDescent="0.25">
      <c r="B13" s="153"/>
      <c r="C13" s="147"/>
      <c r="D13" s="145"/>
    </row>
    <row r="14" spans="1:4" x14ac:dyDescent="0.25">
      <c r="B14" s="153"/>
      <c r="C14" s="147"/>
      <c r="D14" s="145"/>
    </row>
    <row r="15" spans="1:4" x14ac:dyDescent="0.25">
      <c r="B15" s="153"/>
      <c r="C15" s="147"/>
      <c r="D15" s="145"/>
    </row>
    <row r="16" spans="1:4" x14ac:dyDescent="0.25">
      <c r="B16" s="153" t="s">
        <v>718</v>
      </c>
      <c r="C16" s="147" t="s">
        <v>598</v>
      </c>
      <c r="D16" s="145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B1" sqref="B1"/>
    </sheetView>
  </sheetViews>
  <sheetFormatPr defaultRowHeight="15" x14ac:dyDescent="0.25"/>
  <cols>
    <col min="1" max="1" width="3.85546875" style="136" customWidth="1"/>
    <col min="2" max="2" width="64.7109375" style="136" customWidth="1"/>
    <col min="3" max="3" width="9.42578125" style="136" customWidth="1"/>
    <col min="4" max="4" width="22.42578125" style="136" customWidth="1"/>
    <col min="5" max="6" width="18.7109375" style="136" customWidth="1"/>
    <col min="7" max="254" width="8.7109375" style="136"/>
    <col min="255" max="255" width="64.7109375" style="136" customWidth="1"/>
    <col min="256" max="256" width="9.42578125" style="136" customWidth="1"/>
    <col min="257" max="257" width="22.42578125" style="136" customWidth="1"/>
    <col min="258" max="258" width="18.85546875" style="136" customWidth="1"/>
    <col min="259" max="259" width="18.7109375" style="136" customWidth="1"/>
    <col min="260" max="260" width="18.28515625" style="136" customWidth="1"/>
    <col min="261" max="261" width="18" style="136" customWidth="1"/>
    <col min="262" max="262" width="18.7109375" style="136" customWidth="1"/>
    <col min="263" max="510" width="8.7109375" style="136"/>
    <col min="511" max="511" width="64.7109375" style="136" customWidth="1"/>
    <col min="512" max="512" width="9.42578125" style="136" customWidth="1"/>
    <col min="513" max="513" width="22.42578125" style="136" customWidth="1"/>
    <col min="514" max="514" width="18.85546875" style="136" customWidth="1"/>
    <col min="515" max="515" width="18.7109375" style="136" customWidth="1"/>
    <col min="516" max="516" width="18.28515625" style="136" customWidth="1"/>
    <col min="517" max="517" width="18" style="136" customWidth="1"/>
    <col min="518" max="518" width="18.7109375" style="136" customWidth="1"/>
    <col min="519" max="766" width="8.7109375" style="136"/>
    <col min="767" max="767" width="64.7109375" style="136" customWidth="1"/>
    <col min="768" max="768" width="9.42578125" style="136" customWidth="1"/>
    <col min="769" max="769" width="22.42578125" style="136" customWidth="1"/>
    <col min="770" max="770" width="18.85546875" style="136" customWidth="1"/>
    <col min="771" max="771" width="18.7109375" style="136" customWidth="1"/>
    <col min="772" max="772" width="18.28515625" style="136" customWidth="1"/>
    <col min="773" max="773" width="18" style="136" customWidth="1"/>
    <col min="774" max="774" width="18.7109375" style="136" customWidth="1"/>
    <col min="775" max="1022" width="8.7109375" style="136"/>
    <col min="1023" max="1023" width="64.7109375" style="136" customWidth="1"/>
    <col min="1024" max="1024" width="9.42578125" style="136" customWidth="1"/>
    <col min="1025" max="1025" width="22.42578125" style="136" customWidth="1"/>
    <col min="1026" max="1026" width="18.85546875" style="136" customWidth="1"/>
    <col min="1027" max="1027" width="18.7109375" style="136" customWidth="1"/>
    <col min="1028" max="1028" width="18.28515625" style="136" customWidth="1"/>
    <col min="1029" max="1029" width="18" style="136" customWidth="1"/>
    <col min="1030" max="1030" width="18.7109375" style="136" customWidth="1"/>
    <col min="1031" max="1278" width="8.7109375" style="136"/>
    <col min="1279" max="1279" width="64.7109375" style="136" customWidth="1"/>
    <col min="1280" max="1280" width="9.42578125" style="136" customWidth="1"/>
    <col min="1281" max="1281" width="22.42578125" style="136" customWidth="1"/>
    <col min="1282" max="1282" width="18.85546875" style="136" customWidth="1"/>
    <col min="1283" max="1283" width="18.7109375" style="136" customWidth="1"/>
    <col min="1284" max="1284" width="18.28515625" style="136" customWidth="1"/>
    <col min="1285" max="1285" width="18" style="136" customWidth="1"/>
    <col min="1286" max="1286" width="18.7109375" style="136" customWidth="1"/>
    <col min="1287" max="1534" width="8.7109375" style="136"/>
    <col min="1535" max="1535" width="64.7109375" style="136" customWidth="1"/>
    <col min="1536" max="1536" width="9.42578125" style="136" customWidth="1"/>
    <col min="1537" max="1537" width="22.42578125" style="136" customWidth="1"/>
    <col min="1538" max="1538" width="18.85546875" style="136" customWidth="1"/>
    <col min="1539" max="1539" width="18.7109375" style="136" customWidth="1"/>
    <col min="1540" max="1540" width="18.28515625" style="136" customWidth="1"/>
    <col min="1541" max="1541" width="18" style="136" customWidth="1"/>
    <col min="1542" max="1542" width="18.7109375" style="136" customWidth="1"/>
    <col min="1543" max="1790" width="8.7109375" style="136"/>
    <col min="1791" max="1791" width="64.7109375" style="136" customWidth="1"/>
    <col min="1792" max="1792" width="9.42578125" style="136" customWidth="1"/>
    <col min="1793" max="1793" width="22.42578125" style="136" customWidth="1"/>
    <col min="1794" max="1794" width="18.85546875" style="136" customWidth="1"/>
    <col min="1795" max="1795" width="18.7109375" style="136" customWidth="1"/>
    <col min="1796" max="1796" width="18.28515625" style="136" customWidth="1"/>
    <col min="1797" max="1797" width="18" style="136" customWidth="1"/>
    <col min="1798" max="1798" width="18.7109375" style="136" customWidth="1"/>
    <col min="1799" max="2046" width="8.7109375" style="136"/>
    <col min="2047" max="2047" width="64.7109375" style="136" customWidth="1"/>
    <col min="2048" max="2048" width="9.42578125" style="136" customWidth="1"/>
    <col min="2049" max="2049" width="22.42578125" style="136" customWidth="1"/>
    <col min="2050" max="2050" width="18.85546875" style="136" customWidth="1"/>
    <col min="2051" max="2051" width="18.7109375" style="136" customWidth="1"/>
    <col min="2052" max="2052" width="18.28515625" style="136" customWidth="1"/>
    <col min="2053" max="2053" width="18" style="136" customWidth="1"/>
    <col min="2054" max="2054" width="18.7109375" style="136" customWidth="1"/>
    <col min="2055" max="2302" width="8.7109375" style="136"/>
    <col min="2303" max="2303" width="64.7109375" style="136" customWidth="1"/>
    <col min="2304" max="2304" width="9.42578125" style="136" customWidth="1"/>
    <col min="2305" max="2305" width="22.42578125" style="136" customWidth="1"/>
    <col min="2306" max="2306" width="18.85546875" style="136" customWidth="1"/>
    <col min="2307" max="2307" width="18.7109375" style="136" customWidth="1"/>
    <col min="2308" max="2308" width="18.28515625" style="136" customWidth="1"/>
    <col min="2309" max="2309" width="18" style="136" customWidth="1"/>
    <col min="2310" max="2310" width="18.7109375" style="136" customWidth="1"/>
    <col min="2311" max="2558" width="8.7109375" style="136"/>
    <col min="2559" max="2559" width="64.7109375" style="136" customWidth="1"/>
    <col min="2560" max="2560" width="9.42578125" style="136" customWidth="1"/>
    <col min="2561" max="2561" width="22.42578125" style="136" customWidth="1"/>
    <col min="2562" max="2562" width="18.85546875" style="136" customWidth="1"/>
    <col min="2563" max="2563" width="18.7109375" style="136" customWidth="1"/>
    <col min="2564" max="2564" width="18.28515625" style="136" customWidth="1"/>
    <col min="2565" max="2565" width="18" style="136" customWidth="1"/>
    <col min="2566" max="2566" width="18.7109375" style="136" customWidth="1"/>
    <col min="2567" max="2814" width="8.7109375" style="136"/>
    <col min="2815" max="2815" width="64.7109375" style="136" customWidth="1"/>
    <col min="2816" max="2816" width="9.42578125" style="136" customWidth="1"/>
    <col min="2817" max="2817" width="22.42578125" style="136" customWidth="1"/>
    <col min="2818" max="2818" width="18.85546875" style="136" customWidth="1"/>
    <col min="2819" max="2819" width="18.7109375" style="136" customWidth="1"/>
    <col min="2820" max="2820" width="18.28515625" style="136" customWidth="1"/>
    <col min="2821" max="2821" width="18" style="136" customWidth="1"/>
    <col min="2822" max="2822" width="18.7109375" style="136" customWidth="1"/>
    <col min="2823" max="3070" width="8.7109375" style="136"/>
    <col min="3071" max="3071" width="64.7109375" style="136" customWidth="1"/>
    <col min="3072" max="3072" width="9.42578125" style="136" customWidth="1"/>
    <col min="3073" max="3073" width="22.42578125" style="136" customWidth="1"/>
    <col min="3074" max="3074" width="18.85546875" style="136" customWidth="1"/>
    <col min="3075" max="3075" width="18.7109375" style="136" customWidth="1"/>
    <col min="3076" max="3076" width="18.28515625" style="136" customWidth="1"/>
    <col min="3077" max="3077" width="18" style="136" customWidth="1"/>
    <col min="3078" max="3078" width="18.7109375" style="136" customWidth="1"/>
    <col min="3079" max="3326" width="8.7109375" style="136"/>
    <col min="3327" max="3327" width="64.7109375" style="136" customWidth="1"/>
    <col min="3328" max="3328" width="9.42578125" style="136" customWidth="1"/>
    <col min="3329" max="3329" width="22.42578125" style="136" customWidth="1"/>
    <col min="3330" max="3330" width="18.85546875" style="136" customWidth="1"/>
    <col min="3331" max="3331" width="18.7109375" style="136" customWidth="1"/>
    <col min="3332" max="3332" width="18.28515625" style="136" customWidth="1"/>
    <col min="3333" max="3333" width="18" style="136" customWidth="1"/>
    <col min="3334" max="3334" width="18.7109375" style="136" customWidth="1"/>
    <col min="3335" max="3582" width="8.7109375" style="136"/>
    <col min="3583" max="3583" width="64.7109375" style="136" customWidth="1"/>
    <col min="3584" max="3584" width="9.42578125" style="136" customWidth="1"/>
    <col min="3585" max="3585" width="22.42578125" style="136" customWidth="1"/>
    <col min="3586" max="3586" width="18.85546875" style="136" customWidth="1"/>
    <col min="3587" max="3587" width="18.7109375" style="136" customWidth="1"/>
    <col min="3588" max="3588" width="18.28515625" style="136" customWidth="1"/>
    <col min="3589" max="3589" width="18" style="136" customWidth="1"/>
    <col min="3590" max="3590" width="18.7109375" style="136" customWidth="1"/>
    <col min="3591" max="3838" width="8.7109375" style="136"/>
    <col min="3839" max="3839" width="64.7109375" style="136" customWidth="1"/>
    <col min="3840" max="3840" width="9.42578125" style="136" customWidth="1"/>
    <col min="3841" max="3841" width="22.42578125" style="136" customWidth="1"/>
    <col min="3842" max="3842" width="18.85546875" style="136" customWidth="1"/>
    <col min="3843" max="3843" width="18.7109375" style="136" customWidth="1"/>
    <col min="3844" max="3844" width="18.28515625" style="136" customWidth="1"/>
    <col min="3845" max="3845" width="18" style="136" customWidth="1"/>
    <col min="3846" max="3846" width="18.7109375" style="136" customWidth="1"/>
    <col min="3847" max="4094" width="8.7109375" style="136"/>
    <col min="4095" max="4095" width="64.7109375" style="136" customWidth="1"/>
    <col min="4096" max="4096" width="9.42578125" style="136" customWidth="1"/>
    <col min="4097" max="4097" width="22.42578125" style="136" customWidth="1"/>
    <col min="4098" max="4098" width="18.85546875" style="136" customWidth="1"/>
    <col min="4099" max="4099" width="18.7109375" style="136" customWidth="1"/>
    <col min="4100" max="4100" width="18.28515625" style="136" customWidth="1"/>
    <col min="4101" max="4101" width="18" style="136" customWidth="1"/>
    <col min="4102" max="4102" width="18.7109375" style="136" customWidth="1"/>
    <col min="4103" max="4350" width="8.7109375" style="136"/>
    <col min="4351" max="4351" width="64.7109375" style="136" customWidth="1"/>
    <col min="4352" max="4352" width="9.42578125" style="136" customWidth="1"/>
    <col min="4353" max="4353" width="22.42578125" style="136" customWidth="1"/>
    <col min="4354" max="4354" width="18.85546875" style="136" customWidth="1"/>
    <col min="4355" max="4355" width="18.7109375" style="136" customWidth="1"/>
    <col min="4356" max="4356" width="18.28515625" style="136" customWidth="1"/>
    <col min="4357" max="4357" width="18" style="136" customWidth="1"/>
    <col min="4358" max="4358" width="18.7109375" style="136" customWidth="1"/>
    <col min="4359" max="4606" width="8.7109375" style="136"/>
    <col min="4607" max="4607" width="64.7109375" style="136" customWidth="1"/>
    <col min="4608" max="4608" width="9.42578125" style="136" customWidth="1"/>
    <col min="4609" max="4609" width="22.42578125" style="136" customWidth="1"/>
    <col min="4610" max="4610" width="18.85546875" style="136" customWidth="1"/>
    <col min="4611" max="4611" width="18.7109375" style="136" customWidth="1"/>
    <col min="4612" max="4612" width="18.28515625" style="136" customWidth="1"/>
    <col min="4613" max="4613" width="18" style="136" customWidth="1"/>
    <col min="4614" max="4614" width="18.7109375" style="136" customWidth="1"/>
    <col min="4615" max="4862" width="8.7109375" style="136"/>
    <col min="4863" max="4863" width="64.7109375" style="136" customWidth="1"/>
    <col min="4864" max="4864" width="9.42578125" style="136" customWidth="1"/>
    <col min="4865" max="4865" width="22.42578125" style="136" customWidth="1"/>
    <col min="4866" max="4866" width="18.85546875" style="136" customWidth="1"/>
    <col min="4867" max="4867" width="18.7109375" style="136" customWidth="1"/>
    <col min="4868" max="4868" width="18.28515625" style="136" customWidth="1"/>
    <col min="4869" max="4869" width="18" style="136" customWidth="1"/>
    <col min="4870" max="4870" width="18.7109375" style="136" customWidth="1"/>
    <col min="4871" max="5118" width="8.7109375" style="136"/>
    <col min="5119" max="5119" width="64.7109375" style="136" customWidth="1"/>
    <col min="5120" max="5120" width="9.42578125" style="136" customWidth="1"/>
    <col min="5121" max="5121" width="22.42578125" style="136" customWidth="1"/>
    <col min="5122" max="5122" width="18.85546875" style="136" customWidth="1"/>
    <col min="5123" max="5123" width="18.7109375" style="136" customWidth="1"/>
    <col min="5124" max="5124" width="18.28515625" style="136" customWidth="1"/>
    <col min="5125" max="5125" width="18" style="136" customWidth="1"/>
    <col min="5126" max="5126" width="18.7109375" style="136" customWidth="1"/>
    <col min="5127" max="5374" width="8.7109375" style="136"/>
    <col min="5375" max="5375" width="64.7109375" style="136" customWidth="1"/>
    <col min="5376" max="5376" width="9.42578125" style="136" customWidth="1"/>
    <col min="5377" max="5377" width="22.42578125" style="136" customWidth="1"/>
    <col min="5378" max="5378" width="18.85546875" style="136" customWidth="1"/>
    <col min="5379" max="5379" width="18.7109375" style="136" customWidth="1"/>
    <col min="5380" max="5380" width="18.28515625" style="136" customWidth="1"/>
    <col min="5381" max="5381" width="18" style="136" customWidth="1"/>
    <col min="5382" max="5382" width="18.7109375" style="136" customWidth="1"/>
    <col min="5383" max="5630" width="8.7109375" style="136"/>
    <col min="5631" max="5631" width="64.7109375" style="136" customWidth="1"/>
    <col min="5632" max="5632" width="9.42578125" style="136" customWidth="1"/>
    <col min="5633" max="5633" width="22.42578125" style="136" customWidth="1"/>
    <col min="5634" max="5634" width="18.85546875" style="136" customWidth="1"/>
    <col min="5635" max="5635" width="18.7109375" style="136" customWidth="1"/>
    <col min="5636" max="5636" width="18.28515625" style="136" customWidth="1"/>
    <col min="5637" max="5637" width="18" style="136" customWidth="1"/>
    <col min="5638" max="5638" width="18.7109375" style="136" customWidth="1"/>
    <col min="5639" max="5886" width="8.7109375" style="136"/>
    <col min="5887" max="5887" width="64.7109375" style="136" customWidth="1"/>
    <col min="5888" max="5888" width="9.42578125" style="136" customWidth="1"/>
    <col min="5889" max="5889" width="22.42578125" style="136" customWidth="1"/>
    <col min="5890" max="5890" width="18.85546875" style="136" customWidth="1"/>
    <col min="5891" max="5891" width="18.7109375" style="136" customWidth="1"/>
    <col min="5892" max="5892" width="18.28515625" style="136" customWidth="1"/>
    <col min="5893" max="5893" width="18" style="136" customWidth="1"/>
    <col min="5894" max="5894" width="18.7109375" style="136" customWidth="1"/>
    <col min="5895" max="6142" width="8.7109375" style="136"/>
    <col min="6143" max="6143" width="64.7109375" style="136" customWidth="1"/>
    <col min="6144" max="6144" width="9.42578125" style="136" customWidth="1"/>
    <col min="6145" max="6145" width="22.42578125" style="136" customWidth="1"/>
    <col min="6146" max="6146" width="18.85546875" style="136" customWidth="1"/>
    <col min="6147" max="6147" width="18.7109375" style="136" customWidth="1"/>
    <col min="6148" max="6148" width="18.28515625" style="136" customWidth="1"/>
    <col min="6149" max="6149" width="18" style="136" customWidth="1"/>
    <col min="6150" max="6150" width="18.7109375" style="136" customWidth="1"/>
    <col min="6151" max="6398" width="8.7109375" style="136"/>
    <col min="6399" max="6399" width="64.7109375" style="136" customWidth="1"/>
    <col min="6400" max="6400" width="9.42578125" style="136" customWidth="1"/>
    <col min="6401" max="6401" width="22.42578125" style="136" customWidth="1"/>
    <col min="6402" max="6402" width="18.85546875" style="136" customWidth="1"/>
    <col min="6403" max="6403" width="18.7109375" style="136" customWidth="1"/>
    <col min="6404" max="6404" width="18.28515625" style="136" customWidth="1"/>
    <col min="6405" max="6405" width="18" style="136" customWidth="1"/>
    <col min="6406" max="6406" width="18.7109375" style="136" customWidth="1"/>
    <col min="6407" max="6654" width="8.7109375" style="136"/>
    <col min="6655" max="6655" width="64.7109375" style="136" customWidth="1"/>
    <col min="6656" max="6656" width="9.42578125" style="136" customWidth="1"/>
    <col min="6657" max="6657" width="22.42578125" style="136" customWidth="1"/>
    <col min="6658" max="6658" width="18.85546875" style="136" customWidth="1"/>
    <col min="6659" max="6659" width="18.7109375" style="136" customWidth="1"/>
    <col min="6660" max="6660" width="18.28515625" style="136" customWidth="1"/>
    <col min="6661" max="6661" width="18" style="136" customWidth="1"/>
    <col min="6662" max="6662" width="18.7109375" style="136" customWidth="1"/>
    <col min="6663" max="6910" width="8.7109375" style="136"/>
    <col min="6911" max="6911" width="64.7109375" style="136" customWidth="1"/>
    <col min="6912" max="6912" width="9.42578125" style="136" customWidth="1"/>
    <col min="6913" max="6913" width="22.42578125" style="136" customWidth="1"/>
    <col min="6914" max="6914" width="18.85546875" style="136" customWidth="1"/>
    <col min="6915" max="6915" width="18.7109375" style="136" customWidth="1"/>
    <col min="6916" max="6916" width="18.28515625" style="136" customWidth="1"/>
    <col min="6917" max="6917" width="18" style="136" customWidth="1"/>
    <col min="6918" max="6918" width="18.7109375" style="136" customWidth="1"/>
    <col min="6919" max="7166" width="8.7109375" style="136"/>
    <col min="7167" max="7167" width="64.7109375" style="136" customWidth="1"/>
    <col min="7168" max="7168" width="9.42578125" style="136" customWidth="1"/>
    <col min="7169" max="7169" width="22.42578125" style="136" customWidth="1"/>
    <col min="7170" max="7170" width="18.85546875" style="136" customWidth="1"/>
    <col min="7171" max="7171" width="18.7109375" style="136" customWidth="1"/>
    <col min="7172" max="7172" width="18.28515625" style="136" customWidth="1"/>
    <col min="7173" max="7173" width="18" style="136" customWidth="1"/>
    <col min="7174" max="7174" width="18.7109375" style="136" customWidth="1"/>
    <col min="7175" max="7422" width="8.7109375" style="136"/>
    <col min="7423" max="7423" width="64.7109375" style="136" customWidth="1"/>
    <col min="7424" max="7424" width="9.42578125" style="136" customWidth="1"/>
    <col min="7425" max="7425" width="22.42578125" style="136" customWidth="1"/>
    <col min="7426" max="7426" width="18.85546875" style="136" customWidth="1"/>
    <col min="7427" max="7427" width="18.7109375" style="136" customWidth="1"/>
    <col min="7428" max="7428" width="18.28515625" style="136" customWidth="1"/>
    <col min="7429" max="7429" width="18" style="136" customWidth="1"/>
    <col min="7430" max="7430" width="18.7109375" style="136" customWidth="1"/>
    <col min="7431" max="7678" width="8.7109375" style="136"/>
    <col min="7679" max="7679" width="64.7109375" style="136" customWidth="1"/>
    <col min="7680" max="7680" width="9.42578125" style="136" customWidth="1"/>
    <col min="7681" max="7681" width="22.42578125" style="136" customWidth="1"/>
    <col min="7682" max="7682" width="18.85546875" style="136" customWidth="1"/>
    <col min="7683" max="7683" width="18.7109375" style="136" customWidth="1"/>
    <col min="7684" max="7684" width="18.28515625" style="136" customWidth="1"/>
    <col min="7685" max="7685" width="18" style="136" customWidth="1"/>
    <col min="7686" max="7686" width="18.7109375" style="136" customWidth="1"/>
    <col min="7687" max="7934" width="8.7109375" style="136"/>
    <col min="7935" max="7935" width="64.7109375" style="136" customWidth="1"/>
    <col min="7936" max="7936" width="9.42578125" style="136" customWidth="1"/>
    <col min="7937" max="7937" width="22.42578125" style="136" customWidth="1"/>
    <col min="7938" max="7938" width="18.85546875" style="136" customWidth="1"/>
    <col min="7939" max="7939" width="18.7109375" style="136" customWidth="1"/>
    <col min="7940" max="7940" width="18.28515625" style="136" customWidth="1"/>
    <col min="7941" max="7941" width="18" style="136" customWidth="1"/>
    <col min="7942" max="7942" width="18.7109375" style="136" customWidth="1"/>
    <col min="7943" max="8190" width="8.7109375" style="136"/>
    <col min="8191" max="8191" width="64.7109375" style="136" customWidth="1"/>
    <col min="8192" max="8192" width="9.42578125" style="136" customWidth="1"/>
    <col min="8193" max="8193" width="22.42578125" style="136" customWidth="1"/>
    <col min="8194" max="8194" width="18.85546875" style="136" customWidth="1"/>
    <col min="8195" max="8195" width="18.7109375" style="136" customWidth="1"/>
    <col min="8196" max="8196" width="18.28515625" style="136" customWidth="1"/>
    <col min="8197" max="8197" width="18" style="136" customWidth="1"/>
    <col min="8198" max="8198" width="18.7109375" style="136" customWidth="1"/>
    <col min="8199" max="8446" width="8.7109375" style="136"/>
    <col min="8447" max="8447" width="64.7109375" style="136" customWidth="1"/>
    <col min="8448" max="8448" width="9.42578125" style="136" customWidth="1"/>
    <col min="8449" max="8449" width="22.42578125" style="136" customWidth="1"/>
    <col min="8450" max="8450" width="18.85546875" style="136" customWidth="1"/>
    <col min="8451" max="8451" width="18.7109375" style="136" customWidth="1"/>
    <col min="8452" max="8452" width="18.28515625" style="136" customWidth="1"/>
    <col min="8453" max="8453" width="18" style="136" customWidth="1"/>
    <col min="8454" max="8454" width="18.7109375" style="136" customWidth="1"/>
    <col min="8455" max="8702" width="8.7109375" style="136"/>
    <col min="8703" max="8703" width="64.7109375" style="136" customWidth="1"/>
    <col min="8704" max="8704" width="9.42578125" style="136" customWidth="1"/>
    <col min="8705" max="8705" width="22.42578125" style="136" customWidth="1"/>
    <col min="8706" max="8706" width="18.85546875" style="136" customWidth="1"/>
    <col min="8707" max="8707" width="18.7109375" style="136" customWidth="1"/>
    <col min="8708" max="8708" width="18.28515625" style="136" customWidth="1"/>
    <col min="8709" max="8709" width="18" style="136" customWidth="1"/>
    <col min="8710" max="8710" width="18.7109375" style="136" customWidth="1"/>
    <col min="8711" max="8958" width="8.7109375" style="136"/>
    <col min="8959" max="8959" width="64.7109375" style="136" customWidth="1"/>
    <col min="8960" max="8960" width="9.42578125" style="136" customWidth="1"/>
    <col min="8961" max="8961" width="22.42578125" style="136" customWidth="1"/>
    <col min="8962" max="8962" width="18.85546875" style="136" customWidth="1"/>
    <col min="8963" max="8963" width="18.7109375" style="136" customWidth="1"/>
    <col min="8964" max="8964" width="18.28515625" style="136" customWidth="1"/>
    <col min="8965" max="8965" width="18" style="136" customWidth="1"/>
    <col min="8966" max="8966" width="18.7109375" style="136" customWidth="1"/>
    <col min="8967" max="9214" width="8.7109375" style="136"/>
    <col min="9215" max="9215" width="64.7109375" style="136" customWidth="1"/>
    <col min="9216" max="9216" width="9.42578125" style="136" customWidth="1"/>
    <col min="9217" max="9217" width="22.42578125" style="136" customWidth="1"/>
    <col min="9218" max="9218" width="18.85546875" style="136" customWidth="1"/>
    <col min="9219" max="9219" width="18.7109375" style="136" customWidth="1"/>
    <col min="9220" max="9220" width="18.28515625" style="136" customWidth="1"/>
    <col min="9221" max="9221" width="18" style="136" customWidth="1"/>
    <col min="9222" max="9222" width="18.7109375" style="136" customWidth="1"/>
    <col min="9223" max="9470" width="8.7109375" style="136"/>
    <col min="9471" max="9471" width="64.7109375" style="136" customWidth="1"/>
    <col min="9472" max="9472" width="9.42578125" style="136" customWidth="1"/>
    <col min="9473" max="9473" width="22.42578125" style="136" customWidth="1"/>
    <col min="9474" max="9474" width="18.85546875" style="136" customWidth="1"/>
    <col min="9475" max="9475" width="18.7109375" style="136" customWidth="1"/>
    <col min="9476" max="9476" width="18.28515625" style="136" customWidth="1"/>
    <col min="9477" max="9477" width="18" style="136" customWidth="1"/>
    <col min="9478" max="9478" width="18.7109375" style="136" customWidth="1"/>
    <col min="9479" max="9726" width="8.7109375" style="136"/>
    <col min="9727" max="9727" width="64.7109375" style="136" customWidth="1"/>
    <col min="9728" max="9728" width="9.42578125" style="136" customWidth="1"/>
    <col min="9729" max="9729" width="22.42578125" style="136" customWidth="1"/>
    <col min="9730" max="9730" width="18.85546875" style="136" customWidth="1"/>
    <col min="9731" max="9731" width="18.7109375" style="136" customWidth="1"/>
    <col min="9732" max="9732" width="18.28515625" style="136" customWidth="1"/>
    <col min="9733" max="9733" width="18" style="136" customWidth="1"/>
    <col min="9734" max="9734" width="18.7109375" style="136" customWidth="1"/>
    <col min="9735" max="9982" width="8.7109375" style="136"/>
    <col min="9983" max="9983" width="64.7109375" style="136" customWidth="1"/>
    <col min="9984" max="9984" width="9.42578125" style="136" customWidth="1"/>
    <col min="9985" max="9985" width="22.42578125" style="136" customWidth="1"/>
    <col min="9986" max="9986" width="18.85546875" style="136" customWidth="1"/>
    <col min="9987" max="9987" width="18.7109375" style="136" customWidth="1"/>
    <col min="9988" max="9988" width="18.28515625" style="136" customWidth="1"/>
    <col min="9989" max="9989" width="18" style="136" customWidth="1"/>
    <col min="9990" max="9990" width="18.7109375" style="136" customWidth="1"/>
    <col min="9991" max="10238" width="8.7109375" style="136"/>
    <col min="10239" max="10239" width="64.7109375" style="136" customWidth="1"/>
    <col min="10240" max="10240" width="9.42578125" style="136" customWidth="1"/>
    <col min="10241" max="10241" width="22.42578125" style="136" customWidth="1"/>
    <col min="10242" max="10242" width="18.85546875" style="136" customWidth="1"/>
    <col min="10243" max="10243" width="18.7109375" style="136" customWidth="1"/>
    <col min="10244" max="10244" width="18.28515625" style="136" customWidth="1"/>
    <col min="10245" max="10245" width="18" style="136" customWidth="1"/>
    <col min="10246" max="10246" width="18.7109375" style="136" customWidth="1"/>
    <col min="10247" max="10494" width="8.7109375" style="136"/>
    <col min="10495" max="10495" width="64.7109375" style="136" customWidth="1"/>
    <col min="10496" max="10496" width="9.42578125" style="136" customWidth="1"/>
    <col min="10497" max="10497" width="22.42578125" style="136" customWidth="1"/>
    <col min="10498" max="10498" width="18.85546875" style="136" customWidth="1"/>
    <col min="10499" max="10499" width="18.7109375" style="136" customWidth="1"/>
    <col min="10500" max="10500" width="18.28515625" style="136" customWidth="1"/>
    <col min="10501" max="10501" width="18" style="136" customWidth="1"/>
    <col min="10502" max="10502" width="18.7109375" style="136" customWidth="1"/>
    <col min="10503" max="10750" width="8.7109375" style="136"/>
    <col min="10751" max="10751" width="64.7109375" style="136" customWidth="1"/>
    <col min="10752" max="10752" width="9.42578125" style="136" customWidth="1"/>
    <col min="10753" max="10753" width="22.42578125" style="136" customWidth="1"/>
    <col min="10754" max="10754" width="18.85546875" style="136" customWidth="1"/>
    <col min="10755" max="10755" width="18.7109375" style="136" customWidth="1"/>
    <col min="10756" max="10756" width="18.28515625" style="136" customWidth="1"/>
    <col min="10757" max="10757" width="18" style="136" customWidth="1"/>
    <col min="10758" max="10758" width="18.7109375" style="136" customWidth="1"/>
    <col min="10759" max="11006" width="8.7109375" style="136"/>
    <col min="11007" max="11007" width="64.7109375" style="136" customWidth="1"/>
    <col min="11008" max="11008" width="9.42578125" style="136" customWidth="1"/>
    <col min="11009" max="11009" width="22.42578125" style="136" customWidth="1"/>
    <col min="11010" max="11010" width="18.85546875" style="136" customWidth="1"/>
    <col min="11011" max="11011" width="18.7109375" style="136" customWidth="1"/>
    <col min="11012" max="11012" width="18.28515625" style="136" customWidth="1"/>
    <col min="11013" max="11013" width="18" style="136" customWidth="1"/>
    <col min="11014" max="11014" width="18.7109375" style="136" customWidth="1"/>
    <col min="11015" max="11262" width="8.7109375" style="136"/>
    <col min="11263" max="11263" width="64.7109375" style="136" customWidth="1"/>
    <col min="11264" max="11264" width="9.42578125" style="136" customWidth="1"/>
    <col min="11265" max="11265" width="22.42578125" style="136" customWidth="1"/>
    <col min="11266" max="11266" width="18.85546875" style="136" customWidth="1"/>
    <col min="11267" max="11267" width="18.7109375" style="136" customWidth="1"/>
    <col min="11268" max="11268" width="18.28515625" style="136" customWidth="1"/>
    <col min="11269" max="11269" width="18" style="136" customWidth="1"/>
    <col min="11270" max="11270" width="18.7109375" style="136" customWidth="1"/>
    <col min="11271" max="11518" width="8.7109375" style="136"/>
    <col min="11519" max="11519" width="64.7109375" style="136" customWidth="1"/>
    <col min="11520" max="11520" width="9.42578125" style="136" customWidth="1"/>
    <col min="11521" max="11521" width="22.42578125" style="136" customWidth="1"/>
    <col min="11522" max="11522" width="18.85546875" style="136" customWidth="1"/>
    <col min="11523" max="11523" width="18.7109375" style="136" customWidth="1"/>
    <col min="11524" max="11524" width="18.28515625" style="136" customWidth="1"/>
    <col min="11525" max="11525" width="18" style="136" customWidth="1"/>
    <col min="11526" max="11526" width="18.7109375" style="136" customWidth="1"/>
    <col min="11527" max="11774" width="8.7109375" style="136"/>
    <col min="11775" max="11775" width="64.7109375" style="136" customWidth="1"/>
    <col min="11776" max="11776" width="9.42578125" style="136" customWidth="1"/>
    <col min="11777" max="11777" width="22.42578125" style="136" customWidth="1"/>
    <col min="11778" max="11778" width="18.85546875" style="136" customWidth="1"/>
    <col min="11779" max="11779" width="18.7109375" style="136" customWidth="1"/>
    <col min="11780" max="11780" width="18.28515625" style="136" customWidth="1"/>
    <col min="11781" max="11781" width="18" style="136" customWidth="1"/>
    <col min="11782" max="11782" width="18.7109375" style="136" customWidth="1"/>
    <col min="11783" max="12030" width="8.7109375" style="136"/>
    <col min="12031" max="12031" width="64.7109375" style="136" customWidth="1"/>
    <col min="12032" max="12032" width="9.42578125" style="136" customWidth="1"/>
    <col min="12033" max="12033" width="22.42578125" style="136" customWidth="1"/>
    <col min="12034" max="12034" width="18.85546875" style="136" customWidth="1"/>
    <col min="12035" max="12035" width="18.7109375" style="136" customWidth="1"/>
    <col min="12036" max="12036" width="18.28515625" style="136" customWidth="1"/>
    <col min="12037" max="12037" width="18" style="136" customWidth="1"/>
    <col min="12038" max="12038" width="18.7109375" style="136" customWidth="1"/>
    <col min="12039" max="12286" width="8.7109375" style="136"/>
    <col min="12287" max="12287" width="64.7109375" style="136" customWidth="1"/>
    <col min="12288" max="12288" width="9.42578125" style="136" customWidth="1"/>
    <col min="12289" max="12289" width="22.42578125" style="136" customWidth="1"/>
    <col min="12290" max="12290" width="18.85546875" style="136" customWidth="1"/>
    <col min="12291" max="12291" width="18.7109375" style="136" customWidth="1"/>
    <col min="12292" max="12292" width="18.28515625" style="136" customWidth="1"/>
    <col min="12293" max="12293" width="18" style="136" customWidth="1"/>
    <col min="12294" max="12294" width="18.7109375" style="136" customWidth="1"/>
    <col min="12295" max="12542" width="8.7109375" style="136"/>
    <col min="12543" max="12543" width="64.7109375" style="136" customWidth="1"/>
    <col min="12544" max="12544" width="9.42578125" style="136" customWidth="1"/>
    <col min="12545" max="12545" width="22.42578125" style="136" customWidth="1"/>
    <col min="12546" max="12546" width="18.85546875" style="136" customWidth="1"/>
    <col min="12547" max="12547" width="18.7109375" style="136" customWidth="1"/>
    <col min="12548" max="12548" width="18.28515625" style="136" customWidth="1"/>
    <col min="12549" max="12549" width="18" style="136" customWidth="1"/>
    <col min="12550" max="12550" width="18.7109375" style="136" customWidth="1"/>
    <col min="12551" max="12798" width="8.7109375" style="136"/>
    <col min="12799" max="12799" width="64.7109375" style="136" customWidth="1"/>
    <col min="12800" max="12800" width="9.42578125" style="136" customWidth="1"/>
    <col min="12801" max="12801" width="22.42578125" style="136" customWidth="1"/>
    <col min="12802" max="12802" width="18.85546875" style="136" customWidth="1"/>
    <col min="12803" max="12803" width="18.7109375" style="136" customWidth="1"/>
    <col min="12804" max="12804" width="18.28515625" style="136" customWidth="1"/>
    <col min="12805" max="12805" width="18" style="136" customWidth="1"/>
    <col min="12806" max="12806" width="18.7109375" style="136" customWidth="1"/>
    <col min="12807" max="13054" width="8.7109375" style="136"/>
    <col min="13055" max="13055" width="64.7109375" style="136" customWidth="1"/>
    <col min="13056" max="13056" width="9.42578125" style="136" customWidth="1"/>
    <col min="13057" max="13057" width="22.42578125" style="136" customWidth="1"/>
    <col min="13058" max="13058" width="18.85546875" style="136" customWidth="1"/>
    <col min="13059" max="13059" width="18.7109375" style="136" customWidth="1"/>
    <col min="13060" max="13060" width="18.28515625" style="136" customWidth="1"/>
    <col min="13061" max="13061" width="18" style="136" customWidth="1"/>
    <col min="13062" max="13062" width="18.7109375" style="136" customWidth="1"/>
    <col min="13063" max="13310" width="8.7109375" style="136"/>
    <col min="13311" max="13311" width="64.7109375" style="136" customWidth="1"/>
    <col min="13312" max="13312" width="9.42578125" style="136" customWidth="1"/>
    <col min="13313" max="13313" width="22.42578125" style="136" customWidth="1"/>
    <col min="13314" max="13314" width="18.85546875" style="136" customWidth="1"/>
    <col min="13315" max="13315" width="18.7109375" style="136" customWidth="1"/>
    <col min="13316" max="13316" width="18.28515625" style="136" customWidth="1"/>
    <col min="13317" max="13317" width="18" style="136" customWidth="1"/>
    <col min="13318" max="13318" width="18.7109375" style="136" customWidth="1"/>
    <col min="13319" max="13566" width="8.7109375" style="136"/>
    <col min="13567" max="13567" width="64.7109375" style="136" customWidth="1"/>
    <col min="13568" max="13568" width="9.42578125" style="136" customWidth="1"/>
    <col min="13569" max="13569" width="22.42578125" style="136" customWidth="1"/>
    <col min="13570" max="13570" width="18.85546875" style="136" customWidth="1"/>
    <col min="13571" max="13571" width="18.7109375" style="136" customWidth="1"/>
    <col min="13572" max="13572" width="18.28515625" style="136" customWidth="1"/>
    <col min="13573" max="13573" width="18" style="136" customWidth="1"/>
    <col min="13574" max="13574" width="18.7109375" style="136" customWidth="1"/>
    <col min="13575" max="13822" width="8.7109375" style="136"/>
    <col min="13823" max="13823" width="64.7109375" style="136" customWidth="1"/>
    <col min="13824" max="13824" width="9.42578125" style="136" customWidth="1"/>
    <col min="13825" max="13825" width="22.42578125" style="136" customWidth="1"/>
    <col min="13826" max="13826" width="18.85546875" style="136" customWidth="1"/>
    <col min="13827" max="13827" width="18.7109375" style="136" customWidth="1"/>
    <col min="13828" max="13828" width="18.28515625" style="136" customWidth="1"/>
    <col min="13829" max="13829" width="18" style="136" customWidth="1"/>
    <col min="13830" max="13830" width="18.7109375" style="136" customWidth="1"/>
    <col min="13831" max="14078" width="8.7109375" style="136"/>
    <col min="14079" max="14079" width="64.7109375" style="136" customWidth="1"/>
    <col min="14080" max="14080" width="9.42578125" style="136" customWidth="1"/>
    <col min="14081" max="14081" width="22.42578125" style="136" customWidth="1"/>
    <col min="14082" max="14082" width="18.85546875" style="136" customWidth="1"/>
    <col min="14083" max="14083" width="18.7109375" style="136" customWidth="1"/>
    <col min="14084" max="14084" width="18.28515625" style="136" customWidth="1"/>
    <col min="14085" max="14085" width="18" style="136" customWidth="1"/>
    <col min="14086" max="14086" width="18.7109375" style="136" customWidth="1"/>
    <col min="14087" max="14334" width="8.7109375" style="136"/>
    <col min="14335" max="14335" width="64.7109375" style="136" customWidth="1"/>
    <col min="14336" max="14336" width="9.42578125" style="136" customWidth="1"/>
    <col min="14337" max="14337" width="22.42578125" style="136" customWidth="1"/>
    <col min="14338" max="14338" width="18.85546875" style="136" customWidth="1"/>
    <col min="14339" max="14339" width="18.7109375" style="136" customWidth="1"/>
    <col min="14340" max="14340" width="18.28515625" style="136" customWidth="1"/>
    <col min="14341" max="14341" width="18" style="136" customWidth="1"/>
    <col min="14342" max="14342" width="18.7109375" style="136" customWidth="1"/>
    <col min="14343" max="14590" width="8.7109375" style="136"/>
    <col min="14591" max="14591" width="64.7109375" style="136" customWidth="1"/>
    <col min="14592" max="14592" width="9.42578125" style="136" customWidth="1"/>
    <col min="14593" max="14593" width="22.42578125" style="136" customWidth="1"/>
    <col min="14594" max="14594" width="18.85546875" style="136" customWidth="1"/>
    <col min="14595" max="14595" width="18.7109375" style="136" customWidth="1"/>
    <col min="14596" max="14596" width="18.28515625" style="136" customWidth="1"/>
    <col min="14597" max="14597" width="18" style="136" customWidth="1"/>
    <col min="14598" max="14598" width="18.7109375" style="136" customWidth="1"/>
    <col min="14599" max="14846" width="8.7109375" style="136"/>
    <col min="14847" max="14847" width="64.7109375" style="136" customWidth="1"/>
    <col min="14848" max="14848" width="9.42578125" style="136" customWidth="1"/>
    <col min="14849" max="14849" width="22.42578125" style="136" customWidth="1"/>
    <col min="14850" max="14850" width="18.85546875" style="136" customWidth="1"/>
    <col min="14851" max="14851" width="18.7109375" style="136" customWidth="1"/>
    <col min="14852" max="14852" width="18.28515625" style="136" customWidth="1"/>
    <col min="14853" max="14853" width="18" style="136" customWidth="1"/>
    <col min="14854" max="14854" width="18.7109375" style="136" customWidth="1"/>
    <col min="14855" max="15102" width="8.7109375" style="136"/>
    <col min="15103" max="15103" width="64.7109375" style="136" customWidth="1"/>
    <col min="15104" max="15104" width="9.42578125" style="136" customWidth="1"/>
    <col min="15105" max="15105" width="22.42578125" style="136" customWidth="1"/>
    <col min="15106" max="15106" width="18.85546875" style="136" customWidth="1"/>
    <col min="15107" max="15107" width="18.7109375" style="136" customWidth="1"/>
    <col min="15108" max="15108" width="18.28515625" style="136" customWidth="1"/>
    <col min="15109" max="15109" width="18" style="136" customWidth="1"/>
    <col min="15110" max="15110" width="18.7109375" style="136" customWidth="1"/>
    <col min="15111" max="15358" width="8.7109375" style="136"/>
    <col min="15359" max="15359" width="64.7109375" style="136" customWidth="1"/>
    <col min="15360" max="15360" width="9.42578125" style="136" customWidth="1"/>
    <col min="15361" max="15361" width="22.42578125" style="136" customWidth="1"/>
    <col min="15362" max="15362" width="18.85546875" style="136" customWidth="1"/>
    <col min="15363" max="15363" width="18.7109375" style="136" customWidth="1"/>
    <col min="15364" max="15364" width="18.28515625" style="136" customWidth="1"/>
    <col min="15365" max="15365" width="18" style="136" customWidth="1"/>
    <col min="15366" max="15366" width="18.7109375" style="136" customWidth="1"/>
    <col min="15367" max="15614" width="8.7109375" style="136"/>
    <col min="15615" max="15615" width="64.7109375" style="136" customWidth="1"/>
    <col min="15616" max="15616" width="9.42578125" style="136" customWidth="1"/>
    <col min="15617" max="15617" width="22.42578125" style="136" customWidth="1"/>
    <col min="15618" max="15618" width="18.85546875" style="136" customWidth="1"/>
    <col min="15619" max="15619" width="18.7109375" style="136" customWidth="1"/>
    <col min="15620" max="15620" width="18.28515625" style="136" customWidth="1"/>
    <col min="15621" max="15621" width="18" style="136" customWidth="1"/>
    <col min="15622" max="15622" width="18.7109375" style="136" customWidth="1"/>
    <col min="15623" max="15870" width="8.7109375" style="136"/>
    <col min="15871" max="15871" width="64.7109375" style="136" customWidth="1"/>
    <col min="15872" max="15872" width="9.42578125" style="136" customWidth="1"/>
    <col min="15873" max="15873" width="22.42578125" style="136" customWidth="1"/>
    <col min="15874" max="15874" width="18.85546875" style="136" customWidth="1"/>
    <col min="15875" max="15875" width="18.7109375" style="136" customWidth="1"/>
    <col min="15876" max="15876" width="18.28515625" style="136" customWidth="1"/>
    <col min="15877" max="15877" width="18" style="136" customWidth="1"/>
    <col min="15878" max="15878" width="18.7109375" style="136" customWidth="1"/>
    <col min="15879" max="16126" width="8.7109375" style="136"/>
    <col min="16127" max="16127" width="64.7109375" style="136" customWidth="1"/>
    <col min="16128" max="16128" width="9.42578125" style="136" customWidth="1"/>
    <col min="16129" max="16129" width="22.42578125" style="136" customWidth="1"/>
    <col min="16130" max="16130" width="18.85546875" style="136" customWidth="1"/>
    <col min="16131" max="16131" width="18.7109375" style="136" customWidth="1"/>
    <col min="16132" max="16132" width="18.28515625" style="136" customWidth="1"/>
    <col min="16133" max="16133" width="18" style="136" customWidth="1"/>
    <col min="16134" max="16134" width="18.7109375" style="136" customWidth="1"/>
    <col min="16135" max="16383" width="8.7109375" style="136"/>
    <col min="16384" max="16384" width="8.7109375" style="136" customWidth="1"/>
  </cols>
  <sheetData>
    <row r="1" spans="1:6" x14ac:dyDescent="0.25">
      <c r="A1" s="135" t="s">
        <v>722</v>
      </c>
      <c r="B1" s="678" t="str">
        <f>'Átvett pe.'!B1</f>
        <v>melléklet a 4/2021.(III.08.) önkormányzati rendelethez</v>
      </c>
    </row>
    <row r="2" spans="1:6" ht="21.75" customHeight="1" x14ac:dyDescent="0.25">
      <c r="B2" s="794" t="str">
        <f>'Kiemelt EI.'!B2:C2</f>
        <v>Az önkormányzat 2022.évi költségvetése</v>
      </c>
      <c r="C2" s="796"/>
      <c r="D2" s="796"/>
      <c r="E2" s="796"/>
      <c r="F2" s="796"/>
    </row>
    <row r="3" spans="1:6" ht="26.25" customHeight="1" x14ac:dyDescent="0.25">
      <c r="B3" s="795" t="s">
        <v>723</v>
      </c>
      <c r="C3" s="796"/>
      <c r="D3" s="796"/>
      <c r="E3" s="796"/>
      <c r="F3" s="796"/>
    </row>
    <row r="5" spans="1:6" ht="30" x14ac:dyDescent="0.3">
      <c r="B5" s="167" t="s">
        <v>189</v>
      </c>
      <c r="C5" s="141" t="s">
        <v>190</v>
      </c>
      <c r="D5" s="169" t="s">
        <v>595</v>
      </c>
      <c r="E5" s="169" t="s">
        <v>724</v>
      </c>
      <c r="F5" s="170" t="s">
        <v>725</v>
      </c>
    </row>
    <row r="6" spans="1:6" x14ac:dyDescent="0.25">
      <c r="B6" s="145"/>
      <c r="C6" s="145"/>
      <c r="D6" s="145"/>
      <c r="E6" s="145"/>
      <c r="F6" s="151">
        <f>SUM(D6:E6)</f>
        <v>0</v>
      </c>
    </row>
    <row r="7" spans="1:6" x14ac:dyDescent="0.25">
      <c r="B7" s="153" t="s">
        <v>311</v>
      </c>
      <c r="C7" s="147" t="s">
        <v>312</v>
      </c>
      <c r="D7" s="145">
        <f>SUM(D8:D10)</f>
        <v>0</v>
      </c>
      <c r="E7" s="145">
        <f t="shared" ref="E7:F7" si="0">SUM(E8:E10)</f>
        <v>0</v>
      </c>
      <c r="F7" s="145">
        <f t="shared" si="0"/>
        <v>0</v>
      </c>
    </row>
    <row r="8" spans="1:6" x14ac:dyDescent="0.25">
      <c r="B8" s="143"/>
      <c r="C8" s="144"/>
      <c r="D8" s="145"/>
      <c r="E8" s="145"/>
      <c r="F8" s="151">
        <f>SUM(D8:E8)</f>
        <v>0</v>
      </c>
    </row>
    <row r="9" spans="1:6" x14ac:dyDescent="0.25">
      <c r="B9" s="143"/>
      <c r="C9" s="144"/>
      <c r="D9" s="149"/>
      <c r="E9" s="145"/>
      <c r="F9" s="151">
        <f>SUM(D9:E9)</f>
        <v>0</v>
      </c>
    </row>
    <row r="10" spans="1:6" x14ac:dyDescent="0.25">
      <c r="B10" s="143"/>
      <c r="C10" s="144"/>
      <c r="D10" s="149"/>
      <c r="E10" s="145"/>
      <c r="F10" s="151">
        <f>SUM(D10:E10)</f>
        <v>0</v>
      </c>
    </row>
    <row r="11" spans="1:6" x14ac:dyDescent="0.25">
      <c r="B11" s="153" t="s">
        <v>726</v>
      </c>
      <c r="C11" s="147" t="s">
        <v>314</v>
      </c>
      <c r="D11" s="151">
        <f>SUM(D12:D13)</f>
        <v>0</v>
      </c>
      <c r="E11" s="151">
        <f t="shared" ref="E11:F11" si="1">SUM(E12:E13)</f>
        <v>0</v>
      </c>
      <c r="F11" s="151">
        <f t="shared" si="1"/>
        <v>0</v>
      </c>
    </row>
    <row r="12" spans="1:6" x14ac:dyDescent="0.25">
      <c r="B12" s="143"/>
      <c r="C12" s="144"/>
      <c r="D12" s="145"/>
      <c r="E12" s="145"/>
      <c r="F12" s="151">
        <f>SUM(D12:E12)</f>
        <v>0</v>
      </c>
    </row>
    <row r="13" spans="1:6" x14ac:dyDescent="0.25">
      <c r="B13" s="143"/>
      <c r="C13" s="144"/>
      <c r="D13" s="145"/>
      <c r="E13" s="145"/>
      <c r="F13" s="151">
        <f>SUM(D13:E13)</f>
        <v>0</v>
      </c>
    </row>
    <row r="14" spans="1:6" x14ac:dyDescent="0.25">
      <c r="B14" s="146" t="s">
        <v>315</v>
      </c>
      <c r="C14" s="147" t="s">
        <v>316</v>
      </c>
      <c r="D14" s="145">
        <f>SUM(D15:D16)</f>
        <v>0</v>
      </c>
      <c r="E14" s="145">
        <f t="shared" ref="E14:F14" si="2">SUM(E15:E16)</f>
        <v>0</v>
      </c>
      <c r="F14" s="145">
        <f t="shared" si="2"/>
        <v>0</v>
      </c>
    </row>
    <row r="15" spans="1:6" x14ac:dyDescent="0.25">
      <c r="B15" s="152"/>
      <c r="C15" s="144"/>
      <c r="D15" s="145"/>
      <c r="E15" s="145"/>
      <c r="F15" s="151">
        <f>SUM(D15:E15)</f>
        <v>0</v>
      </c>
    </row>
    <row r="16" spans="1:6" x14ac:dyDescent="0.25">
      <c r="B16" s="152"/>
      <c r="C16" s="144"/>
      <c r="D16" s="149"/>
      <c r="E16" s="145"/>
      <c r="F16" s="151">
        <f>SUM(D16:E16)</f>
        <v>0</v>
      </c>
    </row>
    <row r="17" spans="2:6" x14ac:dyDescent="0.25">
      <c r="B17" s="153" t="s">
        <v>143</v>
      </c>
      <c r="C17" s="147" t="s">
        <v>317</v>
      </c>
      <c r="D17" s="151">
        <f>SUM(D18:D19)</f>
        <v>0</v>
      </c>
      <c r="E17" s="151">
        <f t="shared" ref="E17:F17" si="3">SUM(E18:E19)</f>
        <v>0</v>
      </c>
      <c r="F17" s="151">
        <f t="shared" si="3"/>
        <v>0</v>
      </c>
    </row>
    <row r="18" spans="2:6" x14ac:dyDescent="0.25">
      <c r="B18" s="143"/>
      <c r="C18" s="144"/>
      <c r="D18" s="145">
        <v>0</v>
      </c>
      <c r="E18" s="145"/>
      <c r="F18" s="151">
        <f>SUM(D18:E18)</f>
        <v>0</v>
      </c>
    </row>
    <row r="19" spans="2:6" x14ac:dyDescent="0.25">
      <c r="B19" s="143"/>
      <c r="C19" s="144"/>
      <c r="D19" s="145"/>
      <c r="E19" s="145">
        <f>SUM('KÖH kiadás'!E449)</f>
        <v>0</v>
      </c>
      <c r="F19" s="151">
        <f>SUM(D19:E19)</f>
        <v>0</v>
      </c>
    </row>
    <row r="20" spans="2:6" x14ac:dyDescent="0.25">
      <c r="B20" s="153" t="s">
        <v>318</v>
      </c>
      <c r="C20" s="147" t="s">
        <v>319</v>
      </c>
      <c r="D20" s="145">
        <f>SUM(D21:D22)</f>
        <v>0</v>
      </c>
      <c r="E20" s="145">
        <f t="shared" ref="E20:F20" si="4">SUM(E21:E22)</f>
        <v>0</v>
      </c>
      <c r="F20" s="145">
        <f t="shared" si="4"/>
        <v>0</v>
      </c>
    </row>
    <row r="21" spans="2:6" x14ac:dyDescent="0.25">
      <c r="B21" s="143"/>
      <c r="C21" s="144"/>
      <c r="D21" s="145"/>
      <c r="E21" s="145"/>
      <c r="F21" s="151">
        <f>SUM(D21:E21)</f>
        <v>0</v>
      </c>
    </row>
    <row r="22" spans="2:6" x14ac:dyDescent="0.25">
      <c r="B22" s="143"/>
      <c r="C22" s="144"/>
      <c r="D22" s="145"/>
      <c r="E22" s="145"/>
      <c r="F22" s="151">
        <f>SUM(D22:E22)</f>
        <v>0</v>
      </c>
    </row>
    <row r="23" spans="2:6" ht="22.5" customHeight="1" x14ac:dyDescent="0.25">
      <c r="B23" s="146" t="s">
        <v>320</v>
      </c>
      <c r="C23" s="147" t="s">
        <v>321</v>
      </c>
      <c r="D23" s="149">
        <f>SUM(D24:D25)</f>
        <v>0</v>
      </c>
      <c r="E23" s="149">
        <f t="shared" ref="E23:F23" si="5">SUM(E24:E25)</f>
        <v>0</v>
      </c>
      <c r="F23" s="149">
        <f t="shared" si="5"/>
        <v>0</v>
      </c>
    </row>
    <row r="24" spans="2:6" ht="15.75" customHeight="1" x14ac:dyDescent="0.25">
      <c r="B24" s="152"/>
      <c r="C24" s="144"/>
      <c r="D24" s="149"/>
      <c r="E24" s="145"/>
      <c r="F24" s="151"/>
    </row>
    <row r="25" spans="2:6" ht="17.25" customHeight="1" x14ac:dyDescent="0.25">
      <c r="B25" s="152"/>
      <c r="C25" s="144"/>
      <c r="D25" s="149"/>
      <c r="E25" s="145"/>
      <c r="F25" s="151"/>
    </row>
    <row r="26" spans="2:6" ht="20.25" customHeight="1" x14ac:dyDescent="0.25">
      <c r="B26" s="146" t="s">
        <v>136</v>
      </c>
      <c r="C26" s="147" t="s">
        <v>322</v>
      </c>
      <c r="D26" s="171">
        <f>SUM(D27:D28)</f>
        <v>0</v>
      </c>
      <c r="E26" s="171">
        <f t="shared" ref="E26:F26" si="6">SUM(E27:E28)</f>
        <v>0</v>
      </c>
      <c r="F26" s="171">
        <f t="shared" si="6"/>
        <v>0</v>
      </c>
    </row>
    <row r="27" spans="2:6" ht="20.25" customHeight="1" x14ac:dyDescent="0.25">
      <c r="B27" s="143"/>
      <c r="C27" s="147"/>
      <c r="D27" s="379">
        <v>0</v>
      </c>
      <c r="E27" s="151"/>
      <c r="F27" s="151"/>
    </row>
    <row r="28" spans="2:6" ht="20.25" customHeight="1" x14ac:dyDescent="0.25">
      <c r="B28" s="143"/>
      <c r="C28" s="147"/>
      <c r="D28" s="171"/>
      <c r="E28" s="151">
        <f>SUM('KÖH kiadás'!E450)</f>
        <v>0</v>
      </c>
      <c r="F28" s="151"/>
    </row>
    <row r="29" spans="2:6" ht="15.75" x14ac:dyDescent="0.25">
      <c r="B29" s="172" t="s">
        <v>323</v>
      </c>
      <c r="C29" s="165" t="s">
        <v>324</v>
      </c>
      <c r="D29" s="173">
        <f>D7+D11+D14+D17+D20+D23+D26</f>
        <v>0</v>
      </c>
      <c r="E29" s="173">
        <f t="shared" ref="E29:F29" si="7">E7+E11+E14+E17+E20+E23+E26</f>
        <v>0</v>
      </c>
      <c r="F29" s="173">
        <f t="shared" si="7"/>
        <v>0</v>
      </c>
    </row>
    <row r="30" spans="2:6" x14ac:dyDescent="0.25">
      <c r="B30" s="143" t="s">
        <v>1364</v>
      </c>
      <c r="C30" s="147"/>
      <c r="D30" s="149">
        <f>SUM('ÖNK kiadás cofogra'!D301)</f>
        <v>26633200</v>
      </c>
      <c r="E30" s="145"/>
      <c r="F30" s="151">
        <f>SUM(D30:E30)</f>
        <v>26633200</v>
      </c>
    </row>
    <row r="31" spans="2:6" x14ac:dyDescent="0.25">
      <c r="B31" s="143" t="s">
        <v>1338</v>
      </c>
      <c r="C31" s="147"/>
      <c r="D31" s="149">
        <f>SUM('ÖNK kiadás cofogra'!D244)</f>
        <v>12769678</v>
      </c>
      <c r="E31" s="145"/>
      <c r="F31" s="151"/>
    </row>
    <row r="32" spans="2:6" x14ac:dyDescent="0.25">
      <c r="B32" s="143" t="s">
        <v>1409</v>
      </c>
      <c r="C32" s="147"/>
      <c r="D32" s="149">
        <f>SUM('ÖNK kiadás cofogra'!D245)</f>
        <v>1175325</v>
      </c>
      <c r="E32" s="145"/>
      <c r="F32" s="151">
        <f>SUM(D32:E32)</f>
        <v>1175325</v>
      </c>
    </row>
    <row r="33" spans="2:6" x14ac:dyDescent="0.25">
      <c r="B33" s="153" t="s">
        <v>727</v>
      </c>
      <c r="C33" s="147" t="s">
        <v>325</v>
      </c>
      <c r="D33" s="151">
        <f>SUM(D30:D32)</f>
        <v>40578203</v>
      </c>
      <c r="E33" s="145"/>
      <c r="F33" s="151">
        <f>SUM(D33:E33)</f>
        <v>40578203</v>
      </c>
    </row>
    <row r="34" spans="2:6" x14ac:dyDescent="0.25">
      <c r="B34" s="143"/>
      <c r="C34" s="144"/>
      <c r="D34" s="145"/>
      <c r="E34" s="145"/>
      <c r="F34" s="151">
        <f>SUM(D34:E34)</f>
        <v>0</v>
      </c>
    </row>
    <row r="35" spans="2:6" x14ac:dyDescent="0.25">
      <c r="B35" s="143"/>
      <c r="C35" s="144"/>
      <c r="D35" s="145"/>
      <c r="E35" s="145"/>
      <c r="F35" s="151">
        <f>SUM(D35:E35)</f>
        <v>0</v>
      </c>
    </row>
    <row r="36" spans="2:6" x14ac:dyDescent="0.25">
      <c r="B36" s="153" t="s">
        <v>326</v>
      </c>
      <c r="C36" s="147" t="s">
        <v>327</v>
      </c>
      <c r="D36" s="145"/>
      <c r="E36" s="145"/>
      <c r="F36" s="151">
        <f>SUM(D36:E36)</f>
        <v>0</v>
      </c>
    </row>
    <row r="37" spans="2:6" x14ac:dyDescent="0.25">
      <c r="B37" s="153"/>
      <c r="C37" s="147"/>
      <c r="D37" s="145"/>
      <c r="E37" s="145"/>
      <c r="F37" s="151"/>
    </row>
    <row r="38" spans="2:6" x14ac:dyDescent="0.25">
      <c r="B38" s="143" t="s">
        <v>997</v>
      </c>
      <c r="C38" s="147"/>
      <c r="D38" s="145">
        <f>SUM('ÖNK kiadás cofogra'!E796)</f>
        <v>1575000</v>
      </c>
      <c r="E38" s="145"/>
      <c r="F38" s="151"/>
    </row>
    <row r="39" spans="2:6" x14ac:dyDescent="0.25">
      <c r="B39" s="153" t="s">
        <v>1231</v>
      </c>
      <c r="C39" s="147" t="s">
        <v>329</v>
      </c>
      <c r="D39" s="148">
        <f>SUM(D37:D38)</f>
        <v>1575000</v>
      </c>
      <c r="E39" s="145"/>
      <c r="F39" s="151">
        <f>SUM(D39:E39)</f>
        <v>1575000</v>
      </c>
    </row>
    <row r="40" spans="2:6" x14ac:dyDescent="0.25">
      <c r="B40" s="143" t="s">
        <v>997</v>
      </c>
      <c r="C40" s="144"/>
      <c r="D40" s="145">
        <f>SUM('ÖNK kiadás cofogra'!D287)</f>
        <v>425250</v>
      </c>
      <c r="E40" s="145"/>
      <c r="F40" s="151">
        <f>SUM(D40:E40)</f>
        <v>425250</v>
      </c>
    </row>
    <row r="41" spans="2:6" x14ac:dyDescent="0.25">
      <c r="B41" s="143" t="s">
        <v>1364</v>
      </c>
      <c r="C41" s="144"/>
      <c r="D41" s="654">
        <f>SUM('ÖNK kiadás cofogra'!D303)</f>
        <v>7190964</v>
      </c>
      <c r="E41" s="145"/>
      <c r="F41" s="151"/>
    </row>
    <row r="42" spans="2:6" x14ac:dyDescent="0.25">
      <c r="B42" s="143" t="s">
        <v>1338</v>
      </c>
      <c r="C42" s="144"/>
      <c r="D42" s="654">
        <f>SUM('ÖNK kiadás cofogra'!D247)</f>
        <v>3447813</v>
      </c>
      <c r="E42" s="145"/>
      <c r="F42" s="151"/>
    </row>
    <row r="43" spans="2:6" x14ac:dyDescent="0.25">
      <c r="B43" s="143" t="s">
        <v>1410</v>
      </c>
      <c r="C43" s="144"/>
      <c r="D43" s="654">
        <f>SUM('ÖNK kiadás cofogra'!D248)</f>
        <v>317338</v>
      </c>
      <c r="E43" s="145"/>
      <c r="F43" s="151"/>
    </row>
    <row r="44" spans="2:6" s="174" customFormat="1" x14ac:dyDescent="0.25">
      <c r="B44" s="153" t="s">
        <v>148</v>
      </c>
      <c r="C44" s="147" t="s">
        <v>330</v>
      </c>
      <c r="D44" s="171">
        <f>SUM(D40:D43)</f>
        <v>11381365</v>
      </c>
      <c r="E44" s="148"/>
      <c r="F44" s="151">
        <f>SUM(D44:E44)</f>
        <v>11381365</v>
      </c>
    </row>
    <row r="45" spans="2:6" s="174" customFormat="1" x14ac:dyDescent="0.25">
      <c r="B45" s="153" t="s">
        <v>997</v>
      </c>
      <c r="C45" s="147"/>
      <c r="D45" s="171"/>
      <c r="E45" s="148"/>
      <c r="F45" s="151"/>
    </row>
    <row r="46" spans="2:6" ht="15.75" x14ac:dyDescent="0.25">
      <c r="B46" s="172" t="s">
        <v>331</v>
      </c>
      <c r="C46" s="165" t="s">
        <v>332</v>
      </c>
      <c r="D46" s="173">
        <f>D33+D36+D39+D44</f>
        <v>53534568</v>
      </c>
      <c r="E46" s="173">
        <f t="shared" ref="E46:F46" si="8">E33+E36+E39+E44</f>
        <v>0</v>
      </c>
      <c r="F46" s="173">
        <f t="shared" si="8"/>
        <v>53534568</v>
      </c>
    </row>
    <row r="48" spans="2:6" x14ac:dyDescent="0.25">
      <c r="D48" s="380"/>
    </row>
    <row r="49" spans="2:5" x14ac:dyDescent="0.25">
      <c r="B49" s="175"/>
      <c r="C49" s="175"/>
      <c r="D49" s="175"/>
      <c r="E49" s="175"/>
    </row>
    <row r="50" spans="2:5" x14ac:dyDescent="0.25">
      <c r="B50" s="175"/>
      <c r="C50" s="175"/>
      <c r="D50" s="175"/>
      <c r="E50" s="175"/>
    </row>
    <row r="51" spans="2:5" x14ac:dyDescent="0.25">
      <c r="B51" s="175"/>
      <c r="C51" s="175"/>
      <c r="D51" s="175"/>
      <c r="E51" s="175"/>
    </row>
    <row r="52" spans="2:5" x14ac:dyDescent="0.25">
      <c r="B52" s="175"/>
      <c r="C52" s="175"/>
      <c r="D52" s="175"/>
      <c r="E52" s="175"/>
    </row>
    <row r="53" spans="2:5" x14ac:dyDescent="0.25">
      <c r="B53" s="175"/>
      <c r="C53" s="175"/>
      <c r="D53" s="175"/>
      <c r="E53" s="175"/>
    </row>
    <row r="54" spans="2:5" x14ac:dyDescent="0.25">
      <c r="B54" s="175"/>
      <c r="C54" s="175"/>
      <c r="D54" s="175"/>
      <c r="E54" s="175"/>
    </row>
  </sheetData>
  <mergeCells count="2">
    <mergeCell ref="B2:F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selection activeCell="B1" sqref="B1"/>
    </sheetView>
  </sheetViews>
  <sheetFormatPr defaultRowHeight="15" x14ac:dyDescent="0.25"/>
  <cols>
    <col min="1" max="1" width="4.28515625" style="136" customWidth="1"/>
    <col min="2" max="2" width="65" style="136" customWidth="1"/>
    <col min="3" max="3" width="8.7109375" style="136"/>
    <col min="4" max="4" width="16.85546875" style="136" customWidth="1"/>
    <col min="5" max="257" width="8.7109375" style="136"/>
    <col min="258" max="258" width="65" style="136" customWidth="1"/>
    <col min="259" max="259" width="8.7109375" style="136"/>
    <col min="260" max="260" width="16.85546875" style="136" customWidth="1"/>
    <col min="261" max="513" width="8.7109375" style="136"/>
    <col min="514" max="514" width="65" style="136" customWidth="1"/>
    <col min="515" max="515" width="8.7109375" style="136"/>
    <col min="516" max="516" width="16.85546875" style="136" customWidth="1"/>
    <col min="517" max="769" width="8.7109375" style="136"/>
    <col min="770" max="770" width="65" style="136" customWidth="1"/>
    <col min="771" max="771" width="8.7109375" style="136"/>
    <col min="772" max="772" width="16.85546875" style="136" customWidth="1"/>
    <col min="773" max="1025" width="8.7109375" style="136"/>
    <col min="1026" max="1026" width="65" style="136" customWidth="1"/>
    <col min="1027" max="1027" width="8.7109375" style="136"/>
    <col min="1028" max="1028" width="16.85546875" style="136" customWidth="1"/>
    <col min="1029" max="1281" width="8.7109375" style="136"/>
    <col min="1282" max="1282" width="65" style="136" customWidth="1"/>
    <col min="1283" max="1283" width="8.7109375" style="136"/>
    <col min="1284" max="1284" width="16.85546875" style="136" customWidth="1"/>
    <col min="1285" max="1537" width="8.7109375" style="136"/>
    <col min="1538" max="1538" width="65" style="136" customWidth="1"/>
    <col min="1539" max="1539" width="8.7109375" style="136"/>
    <col min="1540" max="1540" width="16.85546875" style="136" customWidth="1"/>
    <col min="1541" max="1793" width="8.7109375" style="136"/>
    <col min="1794" max="1794" width="65" style="136" customWidth="1"/>
    <col min="1795" max="1795" width="8.7109375" style="136"/>
    <col min="1796" max="1796" width="16.85546875" style="136" customWidth="1"/>
    <col min="1797" max="2049" width="8.7109375" style="136"/>
    <col min="2050" max="2050" width="65" style="136" customWidth="1"/>
    <col min="2051" max="2051" width="8.7109375" style="136"/>
    <col min="2052" max="2052" width="16.85546875" style="136" customWidth="1"/>
    <col min="2053" max="2305" width="8.7109375" style="136"/>
    <col min="2306" max="2306" width="65" style="136" customWidth="1"/>
    <col min="2307" max="2307" width="8.7109375" style="136"/>
    <col min="2308" max="2308" width="16.85546875" style="136" customWidth="1"/>
    <col min="2309" max="2561" width="8.7109375" style="136"/>
    <col min="2562" max="2562" width="65" style="136" customWidth="1"/>
    <col min="2563" max="2563" width="8.7109375" style="136"/>
    <col min="2564" max="2564" width="16.85546875" style="136" customWidth="1"/>
    <col min="2565" max="2817" width="8.7109375" style="136"/>
    <col min="2818" max="2818" width="65" style="136" customWidth="1"/>
    <col min="2819" max="2819" width="8.7109375" style="136"/>
    <col min="2820" max="2820" width="16.85546875" style="136" customWidth="1"/>
    <col min="2821" max="3073" width="8.7109375" style="136"/>
    <col min="3074" max="3074" width="65" style="136" customWidth="1"/>
    <col min="3075" max="3075" width="8.7109375" style="136"/>
    <col min="3076" max="3076" width="16.85546875" style="136" customWidth="1"/>
    <col min="3077" max="3329" width="8.7109375" style="136"/>
    <col min="3330" max="3330" width="65" style="136" customWidth="1"/>
    <col min="3331" max="3331" width="8.7109375" style="136"/>
    <col min="3332" max="3332" width="16.85546875" style="136" customWidth="1"/>
    <col min="3333" max="3585" width="8.7109375" style="136"/>
    <col min="3586" max="3586" width="65" style="136" customWidth="1"/>
    <col min="3587" max="3587" width="8.7109375" style="136"/>
    <col min="3588" max="3588" width="16.85546875" style="136" customWidth="1"/>
    <col min="3589" max="3841" width="8.7109375" style="136"/>
    <col min="3842" max="3842" width="65" style="136" customWidth="1"/>
    <col min="3843" max="3843" width="8.7109375" style="136"/>
    <col min="3844" max="3844" width="16.85546875" style="136" customWidth="1"/>
    <col min="3845" max="4097" width="8.7109375" style="136"/>
    <col min="4098" max="4098" width="65" style="136" customWidth="1"/>
    <col min="4099" max="4099" width="8.7109375" style="136"/>
    <col min="4100" max="4100" width="16.85546875" style="136" customWidth="1"/>
    <col min="4101" max="4353" width="8.7109375" style="136"/>
    <col min="4354" max="4354" width="65" style="136" customWidth="1"/>
    <col min="4355" max="4355" width="8.7109375" style="136"/>
    <col min="4356" max="4356" width="16.85546875" style="136" customWidth="1"/>
    <col min="4357" max="4609" width="8.7109375" style="136"/>
    <col min="4610" max="4610" width="65" style="136" customWidth="1"/>
    <col min="4611" max="4611" width="8.7109375" style="136"/>
    <col min="4612" max="4612" width="16.85546875" style="136" customWidth="1"/>
    <col min="4613" max="4865" width="8.7109375" style="136"/>
    <col min="4866" max="4866" width="65" style="136" customWidth="1"/>
    <col min="4867" max="4867" width="8.7109375" style="136"/>
    <col min="4868" max="4868" width="16.85546875" style="136" customWidth="1"/>
    <col min="4869" max="5121" width="8.7109375" style="136"/>
    <col min="5122" max="5122" width="65" style="136" customWidth="1"/>
    <col min="5123" max="5123" width="8.7109375" style="136"/>
    <col min="5124" max="5124" width="16.85546875" style="136" customWidth="1"/>
    <col min="5125" max="5377" width="8.7109375" style="136"/>
    <col min="5378" max="5378" width="65" style="136" customWidth="1"/>
    <col min="5379" max="5379" width="8.7109375" style="136"/>
    <col min="5380" max="5380" width="16.85546875" style="136" customWidth="1"/>
    <col min="5381" max="5633" width="8.7109375" style="136"/>
    <col min="5634" max="5634" width="65" style="136" customWidth="1"/>
    <col min="5635" max="5635" width="8.7109375" style="136"/>
    <col min="5636" max="5636" width="16.85546875" style="136" customWidth="1"/>
    <col min="5637" max="5889" width="8.7109375" style="136"/>
    <col min="5890" max="5890" width="65" style="136" customWidth="1"/>
    <col min="5891" max="5891" width="8.7109375" style="136"/>
    <col min="5892" max="5892" width="16.85546875" style="136" customWidth="1"/>
    <col min="5893" max="6145" width="8.7109375" style="136"/>
    <col min="6146" max="6146" width="65" style="136" customWidth="1"/>
    <col min="6147" max="6147" width="8.7109375" style="136"/>
    <col min="6148" max="6148" width="16.85546875" style="136" customWidth="1"/>
    <col min="6149" max="6401" width="8.7109375" style="136"/>
    <col min="6402" max="6402" width="65" style="136" customWidth="1"/>
    <col min="6403" max="6403" width="8.7109375" style="136"/>
    <col min="6404" max="6404" width="16.85546875" style="136" customWidth="1"/>
    <col min="6405" max="6657" width="8.7109375" style="136"/>
    <col min="6658" max="6658" width="65" style="136" customWidth="1"/>
    <col min="6659" max="6659" width="8.7109375" style="136"/>
    <col min="6660" max="6660" width="16.85546875" style="136" customWidth="1"/>
    <col min="6661" max="6913" width="8.7109375" style="136"/>
    <col min="6914" max="6914" width="65" style="136" customWidth="1"/>
    <col min="6915" max="6915" width="8.7109375" style="136"/>
    <col min="6916" max="6916" width="16.85546875" style="136" customWidth="1"/>
    <col min="6917" max="7169" width="8.7109375" style="136"/>
    <col min="7170" max="7170" width="65" style="136" customWidth="1"/>
    <col min="7171" max="7171" width="8.7109375" style="136"/>
    <col min="7172" max="7172" width="16.85546875" style="136" customWidth="1"/>
    <col min="7173" max="7425" width="8.7109375" style="136"/>
    <col min="7426" max="7426" width="65" style="136" customWidth="1"/>
    <col min="7427" max="7427" width="8.7109375" style="136"/>
    <col min="7428" max="7428" width="16.85546875" style="136" customWidth="1"/>
    <col min="7429" max="7681" width="8.7109375" style="136"/>
    <col min="7682" max="7682" width="65" style="136" customWidth="1"/>
    <col min="7683" max="7683" width="8.7109375" style="136"/>
    <col min="7684" max="7684" width="16.85546875" style="136" customWidth="1"/>
    <col min="7685" max="7937" width="8.7109375" style="136"/>
    <col min="7938" max="7938" width="65" style="136" customWidth="1"/>
    <col min="7939" max="7939" width="8.7109375" style="136"/>
    <col min="7940" max="7940" width="16.85546875" style="136" customWidth="1"/>
    <col min="7941" max="8193" width="8.7109375" style="136"/>
    <col min="8194" max="8194" width="65" style="136" customWidth="1"/>
    <col min="8195" max="8195" width="8.7109375" style="136"/>
    <col min="8196" max="8196" width="16.85546875" style="136" customWidth="1"/>
    <col min="8197" max="8449" width="8.7109375" style="136"/>
    <col min="8450" max="8450" width="65" style="136" customWidth="1"/>
    <col min="8451" max="8451" width="8.7109375" style="136"/>
    <col min="8452" max="8452" width="16.85546875" style="136" customWidth="1"/>
    <col min="8453" max="8705" width="8.7109375" style="136"/>
    <col min="8706" max="8706" width="65" style="136" customWidth="1"/>
    <col min="8707" max="8707" width="8.7109375" style="136"/>
    <col min="8708" max="8708" width="16.85546875" style="136" customWidth="1"/>
    <col min="8709" max="8961" width="8.7109375" style="136"/>
    <col min="8962" max="8962" width="65" style="136" customWidth="1"/>
    <col min="8963" max="8963" width="8.7109375" style="136"/>
    <col min="8964" max="8964" width="16.85546875" style="136" customWidth="1"/>
    <col min="8965" max="9217" width="8.7109375" style="136"/>
    <col min="9218" max="9218" width="65" style="136" customWidth="1"/>
    <col min="9219" max="9219" width="8.7109375" style="136"/>
    <col min="9220" max="9220" width="16.85546875" style="136" customWidth="1"/>
    <col min="9221" max="9473" width="8.7109375" style="136"/>
    <col min="9474" max="9474" width="65" style="136" customWidth="1"/>
    <col min="9475" max="9475" width="8.7109375" style="136"/>
    <col min="9476" max="9476" width="16.85546875" style="136" customWidth="1"/>
    <col min="9477" max="9729" width="8.7109375" style="136"/>
    <col min="9730" max="9730" width="65" style="136" customWidth="1"/>
    <col min="9731" max="9731" width="8.7109375" style="136"/>
    <col min="9732" max="9732" width="16.85546875" style="136" customWidth="1"/>
    <col min="9733" max="9985" width="8.7109375" style="136"/>
    <col min="9986" max="9986" width="65" style="136" customWidth="1"/>
    <col min="9987" max="9987" width="8.7109375" style="136"/>
    <col min="9988" max="9988" width="16.85546875" style="136" customWidth="1"/>
    <col min="9989" max="10241" width="8.7109375" style="136"/>
    <col min="10242" max="10242" width="65" style="136" customWidth="1"/>
    <col min="10243" max="10243" width="8.7109375" style="136"/>
    <col min="10244" max="10244" width="16.85546875" style="136" customWidth="1"/>
    <col min="10245" max="10497" width="8.7109375" style="136"/>
    <col min="10498" max="10498" width="65" style="136" customWidth="1"/>
    <col min="10499" max="10499" width="8.7109375" style="136"/>
    <col min="10500" max="10500" width="16.85546875" style="136" customWidth="1"/>
    <col min="10501" max="10753" width="8.7109375" style="136"/>
    <col min="10754" max="10754" width="65" style="136" customWidth="1"/>
    <col min="10755" max="10755" width="8.7109375" style="136"/>
    <col min="10756" max="10756" width="16.85546875" style="136" customWidth="1"/>
    <col min="10757" max="11009" width="8.7109375" style="136"/>
    <col min="11010" max="11010" width="65" style="136" customWidth="1"/>
    <col min="11011" max="11011" width="8.7109375" style="136"/>
    <col min="11012" max="11012" width="16.85546875" style="136" customWidth="1"/>
    <col min="11013" max="11265" width="8.7109375" style="136"/>
    <col min="11266" max="11266" width="65" style="136" customWidth="1"/>
    <col min="11267" max="11267" width="8.7109375" style="136"/>
    <col min="11268" max="11268" width="16.85546875" style="136" customWidth="1"/>
    <col min="11269" max="11521" width="8.7109375" style="136"/>
    <col min="11522" max="11522" width="65" style="136" customWidth="1"/>
    <col min="11523" max="11523" width="8.7109375" style="136"/>
    <col min="11524" max="11524" width="16.85546875" style="136" customWidth="1"/>
    <col min="11525" max="11777" width="8.7109375" style="136"/>
    <col min="11778" max="11778" width="65" style="136" customWidth="1"/>
    <col min="11779" max="11779" width="8.7109375" style="136"/>
    <col min="11780" max="11780" width="16.85546875" style="136" customWidth="1"/>
    <col min="11781" max="12033" width="8.7109375" style="136"/>
    <col min="12034" max="12034" width="65" style="136" customWidth="1"/>
    <col min="12035" max="12035" width="8.7109375" style="136"/>
    <col min="12036" max="12036" width="16.85546875" style="136" customWidth="1"/>
    <col min="12037" max="12289" width="8.7109375" style="136"/>
    <col min="12290" max="12290" width="65" style="136" customWidth="1"/>
    <col min="12291" max="12291" width="8.7109375" style="136"/>
    <col min="12292" max="12292" width="16.85546875" style="136" customWidth="1"/>
    <col min="12293" max="12545" width="8.7109375" style="136"/>
    <col min="12546" max="12546" width="65" style="136" customWidth="1"/>
    <col min="12547" max="12547" width="8.7109375" style="136"/>
    <col min="12548" max="12548" width="16.85546875" style="136" customWidth="1"/>
    <col min="12549" max="12801" width="8.7109375" style="136"/>
    <col min="12802" max="12802" width="65" style="136" customWidth="1"/>
    <col min="12803" max="12803" width="8.7109375" style="136"/>
    <col min="12804" max="12804" width="16.85546875" style="136" customWidth="1"/>
    <col min="12805" max="13057" width="8.7109375" style="136"/>
    <col min="13058" max="13058" width="65" style="136" customWidth="1"/>
    <col min="13059" max="13059" width="8.7109375" style="136"/>
    <col min="13060" max="13060" width="16.85546875" style="136" customWidth="1"/>
    <col min="13061" max="13313" width="8.7109375" style="136"/>
    <col min="13314" max="13314" width="65" style="136" customWidth="1"/>
    <col min="13315" max="13315" width="8.7109375" style="136"/>
    <col min="13316" max="13316" width="16.85546875" style="136" customWidth="1"/>
    <col min="13317" max="13569" width="8.7109375" style="136"/>
    <col min="13570" max="13570" width="65" style="136" customWidth="1"/>
    <col min="13571" max="13571" width="8.7109375" style="136"/>
    <col min="13572" max="13572" width="16.85546875" style="136" customWidth="1"/>
    <col min="13573" max="13825" width="8.7109375" style="136"/>
    <col min="13826" max="13826" width="65" style="136" customWidth="1"/>
    <col min="13827" max="13827" width="8.7109375" style="136"/>
    <col min="13828" max="13828" width="16.85546875" style="136" customWidth="1"/>
    <col min="13829" max="14081" width="8.7109375" style="136"/>
    <col min="14082" max="14082" width="65" style="136" customWidth="1"/>
    <col min="14083" max="14083" width="8.7109375" style="136"/>
    <col min="14084" max="14084" width="16.85546875" style="136" customWidth="1"/>
    <col min="14085" max="14337" width="8.7109375" style="136"/>
    <col min="14338" max="14338" width="65" style="136" customWidth="1"/>
    <col min="14339" max="14339" width="8.7109375" style="136"/>
    <col min="14340" max="14340" width="16.85546875" style="136" customWidth="1"/>
    <col min="14341" max="14593" width="8.7109375" style="136"/>
    <col min="14594" max="14594" width="65" style="136" customWidth="1"/>
    <col min="14595" max="14595" width="8.7109375" style="136"/>
    <col min="14596" max="14596" width="16.85546875" style="136" customWidth="1"/>
    <col min="14597" max="14849" width="8.7109375" style="136"/>
    <col min="14850" max="14850" width="65" style="136" customWidth="1"/>
    <col min="14851" max="14851" width="8.7109375" style="136"/>
    <col min="14852" max="14852" width="16.85546875" style="136" customWidth="1"/>
    <col min="14853" max="15105" width="8.7109375" style="136"/>
    <col min="15106" max="15106" width="65" style="136" customWidth="1"/>
    <col min="15107" max="15107" width="8.7109375" style="136"/>
    <col min="15108" max="15108" width="16.85546875" style="136" customWidth="1"/>
    <col min="15109" max="15361" width="8.7109375" style="136"/>
    <col min="15362" max="15362" width="65" style="136" customWidth="1"/>
    <col min="15363" max="15363" width="8.7109375" style="136"/>
    <col min="15364" max="15364" width="16.85546875" style="136" customWidth="1"/>
    <col min="15365" max="15617" width="8.7109375" style="136"/>
    <col min="15618" max="15618" width="65" style="136" customWidth="1"/>
    <col min="15619" max="15619" width="8.7109375" style="136"/>
    <col min="15620" max="15620" width="16.85546875" style="136" customWidth="1"/>
    <col min="15621" max="15873" width="8.7109375" style="136"/>
    <col min="15874" max="15874" width="65" style="136" customWidth="1"/>
    <col min="15875" max="15875" width="8.7109375" style="136"/>
    <col min="15876" max="15876" width="16.85546875" style="136" customWidth="1"/>
    <col min="15877" max="16129" width="8.7109375" style="136"/>
    <col min="16130" max="16130" width="65" style="136" customWidth="1"/>
    <col min="16131" max="16131" width="8.7109375" style="136"/>
    <col min="16132" max="16132" width="16.85546875" style="136" customWidth="1"/>
    <col min="16133" max="16384" width="8.7109375" style="136"/>
  </cols>
  <sheetData>
    <row r="1" spans="1:4" x14ac:dyDescent="0.25">
      <c r="A1" s="135" t="s">
        <v>728</v>
      </c>
      <c r="B1" s="678" t="str">
        <f>'Átvett pe.'!B1</f>
        <v>melléklet a 4/2021.(III.08.) önkormányzati rendelethez</v>
      </c>
    </row>
    <row r="2" spans="1:4" ht="24" customHeight="1" x14ac:dyDescent="0.25">
      <c r="B2" s="794" t="str">
        <f>'Kiemelt EI.'!B2:C2</f>
        <v>Az önkormányzat 2022.évi költségvetése</v>
      </c>
      <c r="C2" s="796"/>
      <c r="D2" s="796"/>
    </row>
    <row r="3" spans="1:4" ht="26.25" customHeight="1" x14ac:dyDescent="0.25">
      <c r="B3" s="795" t="s">
        <v>729</v>
      </c>
      <c r="C3" s="796"/>
      <c r="D3" s="796"/>
    </row>
    <row r="5" spans="1:4" ht="25.5" x14ac:dyDescent="0.25">
      <c r="B5" s="178" t="s">
        <v>130</v>
      </c>
      <c r="C5" s="179" t="s">
        <v>190</v>
      </c>
      <c r="D5" s="180" t="s">
        <v>606</v>
      </c>
    </row>
    <row r="6" spans="1:4" x14ac:dyDescent="0.25">
      <c r="B6" s="143" t="s">
        <v>730</v>
      </c>
      <c r="C6" s="143" t="s">
        <v>441</v>
      </c>
      <c r="D6" s="181">
        <f>SUM('ÖNK bevétel cofogra'!D205)</f>
        <v>1400000</v>
      </c>
    </row>
    <row r="7" spans="1:4" x14ac:dyDescent="0.25">
      <c r="B7" s="143" t="s">
        <v>731</v>
      </c>
      <c r="C7" s="143" t="s">
        <v>441</v>
      </c>
      <c r="D7" s="181"/>
    </row>
    <row r="8" spans="1:4" x14ac:dyDescent="0.25">
      <c r="B8" s="143" t="s">
        <v>732</v>
      </c>
      <c r="C8" s="143" t="s">
        <v>441</v>
      </c>
      <c r="D8" s="181">
        <f>SUM('ÖNK bevétel cofogra'!D206)</f>
        <v>9000000</v>
      </c>
    </row>
    <row r="9" spans="1:4" x14ac:dyDescent="0.25">
      <c r="B9" s="143" t="s">
        <v>733</v>
      </c>
      <c r="C9" s="143" t="s">
        <v>441</v>
      </c>
      <c r="D9" s="182">
        <f>SUM('ÖNK bevétel cofogra'!D207)</f>
        <v>4000000</v>
      </c>
    </row>
    <row r="10" spans="1:4" x14ac:dyDescent="0.25">
      <c r="B10" s="153" t="s">
        <v>440</v>
      </c>
      <c r="C10" s="160" t="s">
        <v>441</v>
      </c>
      <c r="D10" s="183">
        <f>SUM(D6:D9)</f>
        <v>14400000</v>
      </c>
    </row>
    <row r="11" spans="1:4" x14ac:dyDescent="0.25">
      <c r="B11" s="153" t="s">
        <v>442</v>
      </c>
      <c r="C11" s="159" t="s">
        <v>443</v>
      </c>
      <c r="D11" s="183">
        <f>SUM(D12:D13)</f>
        <v>80000000</v>
      </c>
    </row>
    <row r="12" spans="1:4" ht="27" x14ac:dyDescent="0.25">
      <c r="B12" s="177" t="s">
        <v>734</v>
      </c>
      <c r="C12" s="177" t="s">
        <v>443</v>
      </c>
      <c r="D12" s="181">
        <f>SUM('ÖNK bevétel cofogra'!D209)</f>
        <v>80000000</v>
      </c>
    </row>
    <row r="13" spans="1:4" ht="27" x14ac:dyDescent="0.25">
      <c r="B13" s="177" t="s">
        <v>735</v>
      </c>
      <c r="C13" s="177" t="s">
        <v>443</v>
      </c>
      <c r="D13" s="184"/>
    </row>
    <row r="14" spans="1:4" x14ac:dyDescent="0.25">
      <c r="B14" s="153" t="s">
        <v>448</v>
      </c>
      <c r="C14" s="159" t="s">
        <v>449</v>
      </c>
      <c r="D14" s="183">
        <f>SUM(D15:D18)</f>
        <v>0</v>
      </c>
    </row>
    <row r="15" spans="1:4" ht="27" x14ac:dyDescent="0.25">
      <c r="B15" s="177" t="s">
        <v>736</v>
      </c>
      <c r="C15" s="177" t="s">
        <v>449</v>
      </c>
      <c r="D15" s="184"/>
    </row>
    <row r="16" spans="1:4" ht="27" x14ac:dyDescent="0.25">
      <c r="B16" s="177" t="s">
        <v>737</v>
      </c>
      <c r="C16" s="177" t="s">
        <v>449</v>
      </c>
      <c r="D16" s="182"/>
    </row>
    <row r="17" spans="2:4" x14ac:dyDescent="0.25">
      <c r="B17" s="177" t="s">
        <v>738</v>
      </c>
      <c r="C17" s="177" t="s">
        <v>449</v>
      </c>
      <c r="D17" s="184"/>
    </row>
    <row r="18" spans="2:4" x14ac:dyDescent="0.25">
      <c r="B18" s="177" t="s">
        <v>739</v>
      </c>
      <c r="C18" s="177" t="s">
        <v>449</v>
      </c>
      <c r="D18" s="184"/>
    </row>
    <row r="19" spans="2:4" x14ac:dyDescent="0.25">
      <c r="B19" s="153" t="s">
        <v>740</v>
      </c>
      <c r="C19" s="159" t="s">
        <v>451</v>
      </c>
      <c r="D19" s="183">
        <f>SUM(D20:D21)</f>
        <v>500000</v>
      </c>
    </row>
    <row r="20" spans="2:4" x14ac:dyDescent="0.25">
      <c r="B20" s="177" t="s">
        <v>741</v>
      </c>
      <c r="C20" s="177" t="s">
        <v>451</v>
      </c>
      <c r="D20" s="181">
        <f>SUM('ÖNK bevétel cofogra'!D211)</f>
        <v>500000</v>
      </c>
    </row>
    <row r="21" spans="2:4" x14ac:dyDescent="0.25">
      <c r="B21" s="177" t="s">
        <v>742</v>
      </c>
      <c r="C21" s="177" t="s">
        <v>451</v>
      </c>
      <c r="D21" s="184"/>
    </row>
    <row r="22" spans="2:4" x14ac:dyDescent="0.25">
      <c r="B22" s="153" t="s">
        <v>452</v>
      </c>
      <c r="C22" s="160" t="s">
        <v>453</v>
      </c>
      <c r="D22" s="183">
        <f>D11+D14+D19</f>
        <v>80500000</v>
      </c>
    </row>
    <row r="23" spans="2:4" x14ac:dyDescent="0.25">
      <c r="B23" s="143" t="s">
        <v>743</v>
      </c>
      <c r="C23" s="143" t="s">
        <v>454</v>
      </c>
      <c r="D23" s="184"/>
    </row>
    <row r="24" spans="2:4" x14ac:dyDescent="0.25">
      <c r="B24" s="143" t="s">
        <v>744</v>
      </c>
      <c r="C24" s="143" t="s">
        <v>454</v>
      </c>
      <c r="D24" s="184"/>
    </row>
    <row r="25" spans="2:4" x14ac:dyDescent="0.25">
      <c r="B25" s="143" t="s">
        <v>745</v>
      </c>
      <c r="C25" s="143" t="s">
        <v>454</v>
      </c>
      <c r="D25" s="184"/>
    </row>
    <row r="26" spans="2:4" x14ac:dyDescent="0.25">
      <c r="B26" s="143" t="s">
        <v>746</v>
      </c>
      <c r="C26" s="143" t="s">
        <v>454</v>
      </c>
      <c r="D26" s="184"/>
    </row>
    <row r="27" spans="2:4" x14ac:dyDescent="0.25">
      <c r="B27" s="143" t="s">
        <v>747</v>
      </c>
      <c r="C27" s="143" t="s">
        <v>454</v>
      </c>
      <c r="D27" s="184"/>
    </row>
    <row r="28" spans="2:4" x14ac:dyDescent="0.25">
      <c r="B28" s="143" t="s">
        <v>748</v>
      </c>
      <c r="C28" s="143" t="s">
        <v>454</v>
      </c>
      <c r="D28" s="184"/>
    </row>
    <row r="29" spans="2:4" x14ac:dyDescent="0.25">
      <c r="B29" s="143" t="s">
        <v>749</v>
      </c>
      <c r="C29" s="143" t="s">
        <v>454</v>
      </c>
      <c r="D29" s="184"/>
    </row>
    <row r="30" spans="2:4" x14ac:dyDescent="0.25">
      <c r="B30" s="143" t="s">
        <v>750</v>
      </c>
      <c r="C30" s="143" t="s">
        <v>454</v>
      </c>
      <c r="D30" s="184"/>
    </row>
    <row r="31" spans="2:4" ht="45" x14ac:dyDescent="0.25">
      <c r="B31" s="143" t="s">
        <v>751</v>
      </c>
      <c r="C31" s="143" t="s">
        <v>454</v>
      </c>
      <c r="D31" s="181"/>
    </row>
    <row r="32" spans="2:4" x14ac:dyDescent="0.25">
      <c r="B32" s="143" t="s">
        <v>752</v>
      </c>
      <c r="C32" s="143" t="s">
        <v>454</v>
      </c>
      <c r="D32" s="181">
        <f>SUM('ÖNK bevétel cofogra'!E213)</f>
        <v>1400000</v>
      </c>
    </row>
    <row r="33" spans="2:4" x14ac:dyDescent="0.25">
      <c r="B33" s="153" t="s">
        <v>184</v>
      </c>
      <c r="C33" s="160" t="s">
        <v>454</v>
      </c>
      <c r="D33" s="183">
        <f>SUM(D23:D32)</f>
        <v>1400000</v>
      </c>
    </row>
    <row r="34" spans="2:4" x14ac:dyDescent="0.25">
      <c r="D34" s="171">
        <f>SUM(D10+D22+D33)</f>
        <v>96300000</v>
      </c>
    </row>
    <row r="35" spans="2:4" x14ac:dyDescent="0.25">
      <c r="D35" s="519"/>
    </row>
    <row r="36" spans="2:4" x14ac:dyDescent="0.25">
      <c r="D36" s="150"/>
    </row>
  </sheetData>
  <mergeCells count="2">
    <mergeCell ref="B2:D2"/>
    <mergeCell ref="B3:D3"/>
  </mergeCells>
  <pageMargins left="0.7" right="0.7" top="0.75" bottom="0.75" header="0.3" footer="0.3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1" sqref="B1"/>
    </sheetView>
  </sheetViews>
  <sheetFormatPr defaultColWidth="8.7109375" defaultRowHeight="15" x14ac:dyDescent="0.25"/>
  <cols>
    <col min="1" max="1" width="4" style="136" customWidth="1"/>
    <col min="2" max="2" width="50.42578125" style="136" customWidth="1"/>
    <col min="3" max="3" width="25.28515625" style="136" customWidth="1"/>
    <col min="4" max="4" width="28" style="136" customWidth="1"/>
    <col min="5" max="5" width="18.140625" style="185" customWidth="1"/>
    <col min="6" max="16384" width="8.7109375" style="136"/>
  </cols>
  <sheetData>
    <row r="1" spans="1:5" x14ac:dyDescent="0.25">
      <c r="A1" s="135" t="s">
        <v>753</v>
      </c>
      <c r="B1" s="678" t="str">
        <f>'Átadott pe.'!B1</f>
        <v>melléklet a 4/2021.(III.08.) önkormányzati rendelethez</v>
      </c>
    </row>
    <row r="2" spans="1:5" ht="25.5" customHeight="1" x14ac:dyDescent="0.25">
      <c r="B2" s="794" t="str">
        <f>'Átadott pe.'!B2:D2</f>
        <v>Az önkormányzat 2022.évi költségvetése</v>
      </c>
      <c r="C2" s="796"/>
      <c r="D2" s="796"/>
      <c r="E2" s="796"/>
    </row>
    <row r="3" spans="1:5" ht="23.25" customHeight="1" x14ac:dyDescent="0.25">
      <c r="B3" s="795" t="s">
        <v>754</v>
      </c>
      <c r="C3" s="797"/>
      <c r="D3" s="797"/>
      <c r="E3" s="797"/>
    </row>
    <row r="6" spans="1:5" ht="108" customHeight="1" x14ac:dyDescent="0.25">
      <c r="B6" s="186" t="s">
        <v>755</v>
      </c>
      <c r="C6" s="187" t="s">
        <v>756</v>
      </c>
      <c r="D6" s="187" t="s">
        <v>757</v>
      </c>
      <c r="E6" s="188" t="s">
        <v>725</v>
      </c>
    </row>
    <row r="7" spans="1:5" ht="17.25" customHeight="1" x14ac:dyDescent="0.25">
      <c r="B7" s="189" t="s">
        <v>758</v>
      </c>
      <c r="C7" s="190"/>
      <c r="D7" s="190">
        <v>1</v>
      </c>
      <c r="E7" s="190">
        <f>SUM(C7:D7)</f>
        <v>1</v>
      </c>
    </row>
    <row r="8" spans="1:5" ht="15" customHeight="1" x14ac:dyDescent="0.25">
      <c r="B8" s="189" t="s">
        <v>759</v>
      </c>
      <c r="C8" s="190"/>
      <c r="D8" s="190">
        <v>1</v>
      </c>
      <c r="E8" s="190">
        <f>SUM(C8:D8)</f>
        <v>1</v>
      </c>
    </row>
    <row r="9" spans="1:5" ht="15" customHeight="1" x14ac:dyDescent="0.25">
      <c r="B9" s="189" t="s">
        <v>760</v>
      </c>
      <c r="C9" s="190"/>
      <c r="D9" s="190">
        <v>11</v>
      </c>
      <c r="E9" s="190">
        <f>SUM(C9:D9)</f>
        <v>11</v>
      </c>
    </row>
    <row r="10" spans="1:5" ht="15" customHeight="1" x14ac:dyDescent="0.25">
      <c r="B10" s="189" t="s">
        <v>761</v>
      </c>
      <c r="C10" s="190"/>
      <c r="D10" s="190"/>
      <c r="E10" s="190">
        <f>SUM(C10:D10)</f>
        <v>0</v>
      </c>
    </row>
    <row r="11" spans="1:5" s="174" customFormat="1" ht="27" customHeight="1" x14ac:dyDescent="0.25">
      <c r="B11" s="186" t="s">
        <v>762</v>
      </c>
      <c r="C11" s="191">
        <v>0</v>
      </c>
      <c r="D11" s="191">
        <f>SUM(D7:D10)</f>
        <v>13</v>
      </c>
      <c r="E11" s="191">
        <f t="shared" ref="E11" si="0">SUM(E7:E10)</f>
        <v>13</v>
      </c>
    </row>
    <row r="12" spans="1:5" ht="26.25" customHeight="1" x14ac:dyDescent="0.25">
      <c r="B12" s="189" t="s">
        <v>763</v>
      </c>
      <c r="C12" s="190"/>
      <c r="D12" s="190"/>
      <c r="E12" s="190">
        <f t="shared" ref="E12:E27" si="1">SUM(C12:D12)</f>
        <v>0</v>
      </c>
    </row>
    <row r="13" spans="1:5" ht="24" customHeight="1" x14ac:dyDescent="0.25">
      <c r="B13" s="189" t="s">
        <v>764</v>
      </c>
      <c r="C13" s="190"/>
      <c r="D13" s="190"/>
      <c r="E13" s="190">
        <f t="shared" si="1"/>
        <v>0</v>
      </c>
    </row>
    <row r="14" spans="1:5" ht="15" customHeight="1" x14ac:dyDescent="0.25">
      <c r="B14" s="189" t="s">
        <v>765</v>
      </c>
      <c r="C14" s="190"/>
      <c r="D14" s="190"/>
      <c r="E14" s="190">
        <f t="shared" si="1"/>
        <v>0</v>
      </c>
    </row>
    <row r="15" spans="1:5" ht="15" customHeight="1" x14ac:dyDescent="0.25">
      <c r="B15" s="189" t="s">
        <v>766</v>
      </c>
      <c r="C15" s="190"/>
      <c r="D15" s="190"/>
      <c r="E15" s="190">
        <f t="shared" si="1"/>
        <v>0</v>
      </c>
    </row>
    <row r="16" spans="1:5" ht="15" customHeight="1" x14ac:dyDescent="0.25">
      <c r="B16" s="189" t="s">
        <v>767</v>
      </c>
      <c r="C16" s="190">
        <v>0.5</v>
      </c>
      <c r="D16" s="190"/>
      <c r="E16" s="190">
        <f t="shared" si="1"/>
        <v>0.5</v>
      </c>
    </row>
    <row r="17" spans="2:5" ht="15" customHeight="1" x14ac:dyDescent="0.25">
      <c r="B17" s="189" t="s">
        <v>768</v>
      </c>
      <c r="C17" s="190">
        <v>3</v>
      </c>
      <c r="D17" s="190"/>
      <c r="E17" s="190">
        <f t="shared" si="1"/>
        <v>3</v>
      </c>
    </row>
    <row r="18" spans="2:5" ht="15" customHeight="1" x14ac:dyDescent="0.25">
      <c r="B18" s="189" t="s">
        <v>769</v>
      </c>
      <c r="C18" s="190"/>
      <c r="D18" s="190"/>
      <c r="E18" s="190">
        <f t="shared" si="1"/>
        <v>0</v>
      </c>
    </row>
    <row r="19" spans="2:5" s="174" customFormat="1" ht="15" customHeight="1" x14ac:dyDescent="0.25">
      <c r="B19" s="186" t="s">
        <v>770</v>
      </c>
      <c r="C19" s="191">
        <f>SUM(C12:C18)</f>
        <v>3.5</v>
      </c>
      <c r="D19" s="191">
        <f>SUM(D12:D18)</f>
        <v>0</v>
      </c>
      <c r="E19" s="191">
        <f t="shared" si="1"/>
        <v>3.5</v>
      </c>
    </row>
    <row r="20" spans="2:5" ht="36.6" customHeight="1" x14ac:dyDescent="0.25">
      <c r="B20" s="189" t="s">
        <v>771</v>
      </c>
      <c r="C20" s="190">
        <v>3</v>
      </c>
      <c r="D20" s="190">
        <v>0</v>
      </c>
      <c r="E20" s="190">
        <f t="shared" si="1"/>
        <v>3</v>
      </c>
    </row>
    <row r="21" spans="2:5" ht="15" customHeight="1" x14ac:dyDescent="0.25">
      <c r="B21" s="189" t="s">
        <v>772</v>
      </c>
      <c r="C21" s="190"/>
      <c r="D21" s="190"/>
      <c r="E21" s="190">
        <f t="shared" si="1"/>
        <v>0</v>
      </c>
    </row>
    <row r="22" spans="2:5" ht="15" customHeight="1" x14ac:dyDescent="0.25">
      <c r="B22" s="189" t="s">
        <v>773</v>
      </c>
      <c r="C22" s="190">
        <v>2</v>
      </c>
      <c r="D22" s="190"/>
      <c r="E22" s="190">
        <f t="shared" si="1"/>
        <v>2</v>
      </c>
    </row>
    <row r="23" spans="2:5" s="174" customFormat="1" ht="15" customHeight="1" x14ac:dyDescent="0.25">
      <c r="B23" s="186" t="s">
        <v>774</v>
      </c>
      <c r="C23" s="191">
        <f>SUM(C20:C22)</f>
        <v>5</v>
      </c>
      <c r="D23" s="191">
        <f t="shared" ref="D23" si="2">SUM(D20:D22)</f>
        <v>0</v>
      </c>
      <c r="E23" s="191">
        <f t="shared" si="1"/>
        <v>5</v>
      </c>
    </row>
    <row r="24" spans="2:5" ht="15" customHeight="1" x14ac:dyDescent="0.25">
      <c r="B24" s="189" t="s">
        <v>775</v>
      </c>
      <c r="C24" s="190">
        <v>1</v>
      </c>
      <c r="D24" s="190"/>
      <c r="E24" s="190">
        <f t="shared" si="1"/>
        <v>1</v>
      </c>
    </row>
    <row r="25" spans="2:5" ht="31.5" customHeight="1" x14ac:dyDescent="0.25">
      <c r="B25" s="189" t="s">
        <v>776</v>
      </c>
      <c r="C25" s="190">
        <v>5</v>
      </c>
      <c r="D25" s="190"/>
      <c r="E25" s="190">
        <f t="shared" si="1"/>
        <v>5</v>
      </c>
    </row>
    <row r="26" spans="2:5" ht="29.45" customHeight="1" x14ac:dyDescent="0.25">
      <c r="B26" s="189" t="s">
        <v>777</v>
      </c>
      <c r="C26" s="190">
        <v>1</v>
      </c>
      <c r="D26" s="190"/>
      <c r="E26" s="190">
        <f t="shared" si="1"/>
        <v>1</v>
      </c>
    </row>
    <row r="27" spans="2:5" s="174" customFormat="1" ht="15" customHeight="1" x14ac:dyDescent="0.25">
      <c r="B27" s="186" t="s">
        <v>778</v>
      </c>
      <c r="C27" s="191">
        <f>SUM(C24:C26)</f>
        <v>7</v>
      </c>
      <c r="D27" s="191">
        <v>0</v>
      </c>
      <c r="E27" s="191">
        <f t="shared" si="1"/>
        <v>7</v>
      </c>
    </row>
    <row r="28" spans="2:5" s="174" customFormat="1" ht="57" customHeight="1" x14ac:dyDescent="0.25">
      <c r="B28" s="186" t="s">
        <v>779</v>
      </c>
      <c r="C28" s="192">
        <f>C11+C19+C23+C27</f>
        <v>15.5</v>
      </c>
      <c r="D28" s="192">
        <f t="shared" ref="D28:E28" si="3">D11+D19+D23+D27</f>
        <v>13</v>
      </c>
      <c r="E28" s="192">
        <f t="shared" si="3"/>
        <v>28.5</v>
      </c>
    </row>
    <row r="29" spans="2:5" ht="45" customHeight="1" x14ac:dyDescent="0.25">
      <c r="B29" s="189" t="s">
        <v>780</v>
      </c>
      <c r="C29" s="193"/>
      <c r="D29" s="193"/>
      <c r="E29" s="145"/>
    </row>
    <row r="30" spans="2:5" ht="45" customHeight="1" x14ac:dyDescent="0.25">
      <c r="B30" s="189" t="s">
        <v>781</v>
      </c>
      <c r="C30" s="193"/>
      <c r="D30" s="193"/>
      <c r="E30" s="145"/>
    </row>
    <row r="31" spans="2:5" ht="45" customHeight="1" x14ac:dyDescent="0.25">
      <c r="B31" s="189" t="s">
        <v>782</v>
      </c>
      <c r="C31" s="193"/>
      <c r="D31" s="193"/>
      <c r="E31" s="145"/>
    </row>
    <row r="32" spans="2:5" ht="45" customHeight="1" x14ac:dyDescent="0.25">
      <c r="B32" s="189" t="s">
        <v>783</v>
      </c>
      <c r="C32" s="193"/>
      <c r="D32" s="193"/>
      <c r="E32" s="145"/>
    </row>
    <row r="33" spans="2:5" ht="49.5" customHeight="1" x14ac:dyDescent="0.25">
      <c r="B33" s="186" t="s">
        <v>784</v>
      </c>
      <c r="C33" s="193"/>
      <c r="D33" s="193"/>
      <c r="E33" s="145"/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B1" sqref="B1"/>
    </sheetView>
  </sheetViews>
  <sheetFormatPr defaultRowHeight="15" x14ac:dyDescent="0.25"/>
  <cols>
    <col min="1" max="1" width="4.28515625" style="136" customWidth="1"/>
    <col min="2" max="2" width="78.42578125" style="136" customWidth="1"/>
    <col min="3" max="3" width="14.5703125" style="136" customWidth="1"/>
    <col min="4" max="4" width="10.28515625" style="136" customWidth="1"/>
    <col min="5" max="5" width="14.42578125" style="136" customWidth="1"/>
    <col min="6" max="254" width="8.7109375" style="136"/>
    <col min="255" max="255" width="78.42578125" style="136" customWidth="1"/>
    <col min="256" max="256" width="14.5703125" style="136" customWidth="1"/>
    <col min="257" max="257" width="23.7109375" style="136" customWidth="1"/>
    <col min="258" max="258" width="21.5703125" style="136" customWidth="1"/>
    <col min="259" max="259" width="22.7109375" style="136" customWidth="1"/>
    <col min="260" max="260" width="22.5703125" style="136" customWidth="1"/>
    <col min="261" max="261" width="19.5703125" style="136" customWidth="1"/>
    <col min="262" max="510" width="8.7109375" style="136"/>
    <col min="511" max="511" width="78.42578125" style="136" customWidth="1"/>
    <col min="512" max="512" width="14.5703125" style="136" customWidth="1"/>
    <col min="513" max="513" width="23.7109375" style="136" customWidth="1"/>
    <col min="514" max="514" width="21.5703125" style="136" customWidth="1"/>
    <col min="515" max="515" width="22.7109375" style="136" customWidth="1"/>
    <col min="516" max="516" width="22.5703125" style="136" customWidth="1"/>
    <col min="517" max="517" width="19.5703125" style="136" customWidth="1"/>
    <col min="518" max="766" width="8.7109375" style="136"/>
    <col min="767" max="767" width="78.42578125" style="136" customWidth="1"/>
    <col min="768" max="768" width="14.5703125" style="136" customWidth="1"/>
    <col min="769" max="769" width="23.7109375" style="136" customWidth="1"/>
    <col min="770" max="770" width="21.5703125" style="136" customWidth="1"/>
    <col min="771" max="771" width="22.7109375" style="136" customWidth="1"/>
    <col min="772" max="772" width="22.5703125" style="136" customWidth="1"/>
    <col min="773" max="773" width="19.5703125" style="136" customWidth="1"/>
    <col min="774" max="1022" width="8.7109375" style="136"/>
    <col min="1023" max="1023" width="78.42578125" style="136" customWidth="1"/>
    <col min="1024" max="1024" width="14.5703125" style="136" customWidth="1"/>
    <col min="1025" max="1025" width="23.7109375" style="136" customWidth="1"/>
    <col min="1026" max="1026" width="21.5703125" style="136" customWidth="1"/>
    <col min="1027" max="1027" width="22.7109375" style="136" customWidth="1"/>
    <col min="1028" max="1028" width="22.5703125" style="136" customWidth="1"/>
    <col min="1029" max="1029" width="19.5703125" style="136" customWidth="1"/>
    <col min="1030" max="1278" width="8.7109375" style="136"/>
    <col min="1279" max="1279" width="78.42578125" style="136" customWidth="1"/>
    <col min="1280" max="1280" width="14.5703125" style="136" customWidth="1"/>
    <col min="1281" max="1281" width="23.7109375" style="136" customWidth="1"/>
    <col min="1282" max="1282" width="21.5703125" style="136" customWidth="1"/>
    <col min="1283" max="1283" width="22.7109375" style="136" customWidth="1"/>
    <col min="1284" max="1284" width="22.5703125" style="136" customWidth="1"/>
    <col min="1285" max="1285" width="19.5703125" style="136" customWidth="1"/>
    <col min="1286" max="1534" width="8.7109375" style="136"/>
    <col min="1535" max="1535" width="78.42578125" style="136" customWidth="1"/>
    <col min="1536" max="1536" width="14.5703125" style="136" customWidth="1"/>
    <col min="1537" max="1537" width="23.7109375" style="136" customWidth="1"/>
    <col min="1538" max="1538" width="21.5703125" style="136" customWidth="1"/>
    <col min="1539" max="1539" width="22.7109375" style="136" customWidth="1"/>
    <col min="1540" max="1540" width="22.5703125" style="136" customWidth="1"/>
    <col min="1541" max="1541" width="19.5703125" style="136" customWidth="1"/>
    <col min="1542" max="1790" width="8.7109375" style="136"/>
    <col min="1791" max="1791" width="78.42578125" style="136" customWidth="1"/>
    <col min="1792" max="1792" width="14.5703125" style="136" customWidth="1"/>
    <col min="1793" max="1793" width="23.7109375" style="136" customWidth="1"/>
    <col min="1794" max="1794" width="21.5703125" style="136" customWidth="1"/>
    <col min="1795" max="1795" width="22.7109375" style="136" customWidth="1"/>
    <col min="1796" max="1796" width="22.5703125" style="136" customWidth="1"/>
    <col min="1797" max="1797" width="19.5703125" style="136" customWidth="1"/>
    <col min="1798" max="2046" width="8.7109375" style="136"/>
    <col min="2047" max="2047" width="78.42578125" style="136" customWidth="1"/>
    <col min="2048" max="2048" width="14.5703125" style="136" customWidth="1"/>
    <col min="2049" max="2049" width="23.7109375" style="136" customWidth="1"/>
    <col min="2050" max="2050" width="21.5703125" style="136" customWidth="1"/>
    <col min="2051" max="2051" width="22.7109375" style="136" customWidth="1"/>
    <col min="2052" max="2052" width="22.5703125" style="136" customWidth="1"/>
    <col min="2053" max="2053" width="19.5703125" style="136" customWidth="1"/>
    <col min="2054" max="2302" width="8.7109375" style="136"/>
    <col min="2303" max="2303" width="78.42578125" style="136" customWidth="1"/>
    <col min="2304" max="2304" width="14.5703125" style="136" customWidth="1"/>
    <col min="2305" max="2305" width="23.7109375" style="136" customWidth="1"/>
    <col min="2306" max="2306" width="21.5703125" style="136" customWidth="1"/>
    <col min="2307" max="2307" width="22.7109375" style="136" customWidth="1"/>
    <col min="2308" max="2308" width="22.5703125" style="136" customWidth="1"/>
    <col min="2309" max="2309" width="19.5703125" style="136" customWidth="1"/>
    <col min="2310" max="2558" width="8.7109375" style="136"/>
    <col min="2559" max="2559" width="78.42578125" style="136" customWidth="1"/>
    <col min="2560" max="2560" width="14.5703125" style="136" customWidth="1"/>
    <col min="2561" max="2561" width="23.7109375" style="136" customWidth="1"/>
    <col min="2562" max="2562" width="21.5703125" style="136" customWidth="1"/>
    <col min="2563" max="2563" width="22.7109375" style="136" customWidth="1"/>
    <col min="2564" max="2564" width="22.5703125" style="136" customWidth="1"/>
    <col min="2565" max="2565" width="19.5703125" style="136" customWidth="1"/>
    <col min="2566" max="2814" width="8.7109375" style="136"/>
    <col min="2815" max="2815" width="78.42578125" style="136" customWidth="1"/>
    <col min="2816" max="2816" width="14.5703125" style="136" customWidth="1"/>
    <col min="2817" max="2817" width="23.7109375" style="136" customWidth="1"/>
    <col min="2818" max="2818" width="21.5703125" style="136" customWidth="1"/>
    <col min="2819" max="2819" width="22.7109375" style="136" customWidth="1"/>
    <col min="2820" max="2820" width="22.5703125" style="136" customWidth="1"/>
    <col min="2821" max="2821" width="19.5703125" style="136" customWidth="1"/>
    <col min="2822" max="3070" width="8.7109375" style="136"/>
    <col min="3071" max="3071" width="78.42578125" style="136" customWidth="1"/>
    <col min="3072" max="3072" width="14.5703125" style="136" customWidth="1"/>
    <col min="3073" max="3073" width="23.7109375" style="136" customWidth="1"/>
    <col min="3074" max="3074" width="21.5703125" style="136" customWidth="1"/>
    <col min="3075" max="3075" width="22.7109375" style="136" customWidth="1"/>
    <col min="3076" max="3076" width="22.5703125" style="136" customWidth="1"/>
    <col min="3077" max="3077" width="19.5703125" style="136" customWidth="1"/>
    <col min="3078" max="3326" width="8.7109375" style="136"/>
    <col min="3327" max="3327" width="78.42578125" style="136" customWidth="1"/>
    <col min="3328" max="3328" width="14.5703125" style="136" customWidth="1"/>
    <col min="3329" max="3329" width="23.7109375" style="136" customWidth="1"/>
    <col min="3330" max="3330" width="21.5703125" style="136" customWidth="1"/>
    <col min="3331" max="3331" width="22.7109375" style="136" customWidth="1"/>
    <col min="3332" max="3332" width="22.5703125" style="136" customWidth="1"/>
    <col min="3333" max="3333" width="19.5703125" style="136" customWidth="1"/>
    <col min="3334" max="3582" width="8.7109375" style="136"/>
    <col min="3583" max="3583" width="78.42578125" style="136" customWidth="1"/>
    <col min="3584" max="3584" width="14.5703125" style="136" customWidth="1"/>
    <col min="3585" max="3585" width="23.7109375" style="136" customWidth="1"/>
    <col min="3586" max="3586" width="21.5703125" style="136" customWidth="1"/>
    <col min="3587" max="3587" width="22.7109375" style="136" customWidth="1"/>
    <col min="3588" max="3588" width="22.5703125" style="136" customWidth="1"/>
    <col min="3589" max="3589" width="19.5703125" style="136" customWidth="1"/>
    <col min="3590" max="3838" width="8.7109375" style="136"/>
    <col min="3839" max="3839" width="78.42578125" style="136" customWidth="1"/>
    <col min="3840" max="3840" width="14.5703125" style="136" customWidth="1"/>
    <col min="3841" max="3841" width="23.7109375" style="136" customWidth="1"/>
    <col min="3842" max="3842" width="21.5703125" style="136" customWidth="1"/>
    <col min="3843" max="3843" width="22.7109375" style="136" customWidth="1"/>
    <col min="3844" max="3844" width="22.5703125" style="136" customWidth="1"/>
    <col min="3845" max="3845" width="19.5703125" style="136" customWidth="1"/>
    <col min="3846" max="4094" width="8.7109375" style="136"/>
    <col min="4095" max="4095" width="78.42578125" style="136" customWidth="1"/>
    <col min="4096" max="4096" width="14.5703125" style="136" customWidth="1"/>
    <col min="4097" max="4097" width="23.7109375" style="136" customWidth="1"/>
    <col min="4098" max="4098" width="21.5703125" style="136" customWidth="1"/>
    <col min="4099" max="4099" width="22.7109375" style="136" customWidth="1"/>
    <col min="4100" max="4100" width="22.5703125" style="136" customWidth="1"/>
    <col min="4101" max="4101" width="19.5703125" style="136" customWidth="1"/>
    <col min="4102" max="4350" width="8.7109375" style="136"/>
    <col min="4351" max="4351" width="78.42578125" style="136" customWidth="1"/>
    <col min="4352" max="4352" width="14.5703125" style="136" customWidth="1"/>
    <col min="4353" max="4353" width="23.7109375" style="136" customWidth="1"/>
    <col min="4354" max="4354" width="21.5703125" style="136" customWidth="1"/>
    <col min="4355" max="4355" width="22.7109375" style="136" customWidth="1"/>
    <col min="4356" max="4356" width="22.5703125" style="136" customWidth="1"/>
    <col min="4357" max="4357" width="19.5703125" style="136" customWidth="1"/>
    <col min="4358" max="4606" width="8.7109375" style="136"/>
    <col min="4607" max="4607" width="78.42578125" style="136" customWidth="1"/>
    <col min="4608" max="4608" width="14.5703125" style="136" customWidth="1"/>
    <col min="4609" max="4609" width="23.7109375" style="136" customWidth="1"/>
    <col min="4610" max="4610" width="21.5703125" style="136" customWidth="1"/>
    <col min="4611" max="4611" width="22.7109375" style="136" customWidth="1"/>
    <col min="4612" max="4612" width="22.5703125" style="136" customWidth="1"/>
    <col min="4613" max="4613" width="19.5703125" style="136" customWidth="1"/>
    <col min="4614" max="4862" width="8.7109375" style="136"/>
    <col min="4863" max="4863" width="78.42578125" style="136" customWidth="1"/>
    <col min="4864" max="4864" width="14.5703125" style="136" customWidth="1"/>
    <col min="4865" max="4865" width="23.7109375" style="136" customWidth="1"/>
    <col min="4866" max="4866" width="21.5703125" style="136" customWidth="1"/>
    <col min="4867" max="4867" width="22.7109375" style="136" customWidth="1"/>
    <col min="4868" max="4868" width="22.5703125" style="136" customWidth="1"/>
    <col min="4869" max="4869" width="19.5703125" style="136" customWidth="1"/>
    <col min="4870" max="5118" width="8.7109375" style="136"/>
    <col min="5119" max="5119" width="78.42578125" style="136" customWidth="1"/>
    <col min="5120" max="5120" width="14.5703125" style="136" customWidth="1"/>
    <col min="5121" max="5121" width="23.7109375" style="136" customWidth="1"/>
    <col min="5122" max="5122" width="21.5703125" style="136" customWidth="1"/>
    <col min="5123" max="5123" width="22.7109375" style="136" customWidth="1"/>
    <col min="5124" max="5124" width="22.5703125" style="136" customWidth="1"/>
    <col min="5125" max="5125" width="19.5703125" style="136" customWidth="1"/>
    <col min="5126" max="5374" width="8.7109375" style="136"/>
    <col min="5375" max="5375" width="78.42578125" style="136" customWidth="1"/>
    <col min="5376" max="5376" width="14.5703125" style="136" customWidth="1"/>
    <col min="5377" max="5377" width="23.7109375" style="136" customWidth="1"/>
    <col min="5378" max="5378" width="21.5703125" style="136" customWidth="1"/>
    <col min="5379" max="5379" width="22.7109375" style="136" customWidth="1"/>
    <col min="5380" max="5380" width="22.5703125" style="136" customWidth="1"/>
    <col min="5381" max="5381" width="19.5703125" style="136" customWidth="1"/>
    <col min="5382" max="5630" width="8.7109375" style="136"/>
    <col min="5631" max="5631" width="78.42578125" style="136" customWidth="1"/>
    <col min="5632" max="5632" width="14.5703125" style="136" customWidth="1"/>
    <col min="5633" max="5633" width="23.7109375" style="136" customWidth="1"/>
    <col min="5634" max="5634" width="21.5703125" style="136" customWidth="1"/>
    <col min="5635" max="5635" width="22.7109375" style="136" customWidth="1"/>
    <col min="5636" max="5636" width="22.5703125" style="136" customWidth="1"/>
    <col min="5637" max="5637" width="19.5703125" style="136" customWidth="1"/>
    <col min="5638" max="5886" width="8.7109375" style="136"/>
    <col min="5887" max="5887" width="78.42578125" style="136" customWidth="1"/>
    <col min="5888" max="5888" width="14.5703125" style="136" customWidth="1"/>
    <col min="5889" max="5889" width="23.7109375" style="136" customWidth="1"/>
    <col min="5890" max="5890" width="21.5703125" style="136" customWidth="1"/>
    <col min="5891" max="5891" width="22.7109375" style="136" customWidth="1"/>
    <col min="5892" max="5892" width="22.5703125" style="136" customWidth="1"/>
    <col min="5893" max="5893" width="19.5703125" style="136" customWidth="1"/>
    <col min="5894" max="6142" width="8.7109375" style="136"/>
    <col min="6143" max="6143" width="78.42578125" style="136" customWidth="1"/>
    <col min="6144" max="6144" width="14.5703125" style="136" customWidth="1"/>
    <col min="6145" max="6145" width="23.7109375" style="136" customWidth="1"/>
    <col min="6146" max="6146" width="21.5703125" style="136" customWidth="1"/>
    <col min="6147" max="6147" width="22.7109375" style="136" customWidth="1"/>
    <col min="6148" max="6148" width="22.5703125" style="136" customWidth="1"/>
    <col min="6149" max="6149" width="19.5703125" style="136" customWidth="1"/>
    <col min="6150" max="6398" width="8.7109375" style="136"/>
    <col min="6399" max="6399" width="78.42578125" style="136" customWidth="1"/>
    <col min="6400" max="6400" width="14.5703125" style="136" customWidth="1"/>
    <col min="6401" max="6401" width="23.7109375" style="136" customWidth="1"/>
    <col min="6402" max="6402" width="21.5703125" style="136" customWidth="1"/>
    <col min="6403" max="6403" width="22.7109375" style="136" customWidth="1"/>
    <col min="6404" max="6404" width="22.5703125" style="136" customWidth="1"/>
    <col min="6405" max="6405" width="19.5703125" style="136" customWidth="1"/>
    <col min="6406" max="6654" width="8.7109375" style="136"/>
    <col min="6655" max="6655" width="78.42578125" style="136" customWidth="1"/>
    <col min="6656" max="6656" width="14.5703125" style="136" customWidth="1"/>
    <col min="6657" max="6657" width="23.7109375" style="136" customWidth="1"/>
    <col min="6658" max="6658" width="21.5703125" style="136" customWidth="1"/>
    <col min="6659" max="6659" width="22.7109375" style="136" customWidth="1"/>
    <col min="6660" max="6660" width="22.5703125" style="136" customWidth="1"/>
    <col min="6661" max="6661" width="19.5703125" style="136" customWidth="1"/>
    <col min="6662" max="6910" width="8.7109375" style="136"/>
    <col min="6911" max="6911" width="78.42578125" style="136" customWidth="1"/>
    <col min="6912" max="6912" width="14.5703125" style="136" customWidth="1"/>
    <col min="6913" max="6913" width="23.7109375" style="136" customWidth="1"/>
    <col min="6914" max="6914" width="21.5703125" style="136" customWidth="1"/>
    <col min="6915" max="6915" width="22.7109375" style="136" customWidth="1"/>
    <col min="6916" max="6916" width="22.5703125" style="136" customWidth="1"/>
    <col min="6917" max="6917" width="19.5703125" style="136" customWidth="1"/>
    <col min="6918" max="7166" width="8.7109375" style="136"/>
    <col min="7167" max="7167" width="78.42578125" style="136" customWidth="1"/>
    <col min="7168" max="7168" width="14.5703125" style="136" customWidth="1"/>
    <col min="7169" max="7169" width="23.7109375" style="136" customWidth="1"/>
    <col min="7170" max="7170" width="21.5703125" style="136" customWidth="1"/>
    <col min="7171" max="7171" width="22.7109375" style="136" customWidth="1"/>
    <col min="7172" max="7172" width="22.5703125" style="136" customWidth="1"/>
    <col min="7173" max="7173" width="19.5703125" style="136" customWidth="1"/>
    <col min="7174" max="7422" width="8.7109375" style="136"/>
    <col min="7423" max="7423" width="78.42578125" style="136" customWidth="1"/>
    <col min="7424" max="7424" width="14.5703125" style="136" customWidth="1"/>
    <col min="7425" max="7425" width="23.7109375" style="136" customWidth="1"/>
    <col min="7426" max="7426" width="21.5703125" style="136" customWidth="1"/>
    <col min="7427" max="7427" width="22.7109375" style="136" customWidth="1"/>
    <col min="7428" max="7428" width="22.5703125" style="136" customWidth="1"/>
    <col min="7429" max="7429" width="19.5703125" style="136" customWidth="1"/>
    <col min="7430" max="7678" width="8.7109375" style="136"/>
    <col min="7679" max="7679" width="78.42578125" style="136" customWidth="1"/>
    <col min="7680" max="7680" width="14.5703125" style="136" customWidth="1"/>
    <col min="7681" max="7681" width="23.7109375" style="136" customWidth="1"/>
    <col min="7682" max="7682" width="21.5703125" style="136" customWidth="1"/>
    <col min="7683" max="7683" width="22.7109375" style="136" customWidth="1"/>
    <col min="7684" max="7684" width="22.5703125" style="136" customWidth="1"/>
    <col min="7685" max="7685" width="19.5703125" style="136" customWidth="1"/>
    <col min="7686" max="7934" width="8.7109375" style="136"/>
    <col min="7935" max="7935" width="78.42578125" style="136" customWidth="1"/>
    <col min="7936" max="7936" width="14.5703125" style="136" customWidth="1"/>
    <col min="7937" max="7937" width="23.7109375" style="136" customWidth="1"/>
    <col min="7938" max="7938" width="21.5703125" style="136" customWidth="1"/>
    <col min="7939" max="7939" width="22.7109375" style="136" customWidth="1"/>
    <col min="7940" max="7940" width="22.5703125" style="136" customWidth="1"/>
    <col min="7941" max="7941" width="19.5703125" style="136" customWidth="1"/>
    <col min="7942" max="8190" width="8.7109375" style="136"/>
    <col min="8191" max="8191" width="78.42578125" style="136" customWidth="1"/>
    <col min="8192" max="8192" width="14.5703125" style="136" customWidth="1"/>
    <col min="8193" max="8193" width="23.7109375" style="136" customWidth="1"/>
    <col min="8194" max="8194" width="21.5703125" style="136" customWidth="1"/>
    <col min="8195" max="8195" width="22.7109375" style="136" customWidth="1"/>
    <col min="8196" max="8196" width="22.5703125" style="136" customWidth="1"/>
    <col min="8197" max="8197" width="19.5703125" style="136" customWidth="1"/>
    <col min="8198" max="8446" width="8.7109375" style="136"/>
    <col min="8447" max="8447" width="78.42578125" style="136" customWidth="1"/>
    <col min="8448" max="8448" width="14.5703125" style="136" customWidth="1"/>
    <col min="8449" max="8449" width="23.7109375" style="136" customWidth="1"/>
    <col min="8450" max="8450" width="21.5703125" style="136" customWidth="1"/>
    <col min="8451" max="8451" width="22.7109375" style="136" customWidth="1"/>
    <col min="8452" max="8452" width="22.5703125" style="136" customWidth="1"/>
    <col min="8453" max="8453" width="19.5703125" style="136" customWidth="1"/>
    <col min="8454" max="8702" width="8.7109375" style="136"/>
    <col min="8703" max="8703" width="78.42578125" style="136" customWidth="1"/>
    <col min="8704" max="8704" width="14.5703125" style="136" customWidth="1"/>
    <col min="8705" max="8705" width="23.7109375" style="136" customWidth="1"/>
    <col min="8706" max="8706" width="21.5703125" style="136" customWidth="1"/>
    <col min="8707" max="8707" width="22.7109375" style="136" customWidth="1"/>
    <col min="8708" max="8708" width="22.5703125" style="136" customWidth="1"/>
    <col min="8709" max="8709" width="19.5703125" style="136" customWidth="1"/>
    <col min="8710" max="8958" width="8.7109375" style="136"/>
    <col min="8959" max="8959" width="78.42578125" style="136" customWidth="1"/>
    <col min="8960" max="8960" width="14.5703125" style="136" customWidth="1"/>
    <col min="8961" max="8961" width="23.7109375" style="136" customWidth="1"/>
    <col min="8962" max="8962" width="21.5703125" style="136" customWidth="1"/>
    <col min="8963" max="8963" width="22.7109375" style="136" customWidth="1"/>
    <col min="8964" max="8964" width="22.5703125" style="136" customWidth="1"/>
    <col min="8965" max="8965" width="19.5703125" style="136" customWidth="1"/>
    <col min="8966" max="9214" width="8.7109375" style="136"/>
    <col min="9215" max="9215" width="78.42578125" style="136" customWidth="1"/>
    <col min="9216" max="9216" width="14.5703125" style="136" customWidth="1"/>
    <col min="9217" max="9217" width="23.7109375" style="136" customWidth="1"/>
    <col min="9218" max="9218" width="21.5703125" style="136" customWidth="1"/>
    <col min="9219" max="9219" width="22.7109375" style="136" customWidth="1"/>
    <col min="9220" max="9220" width="22.5703125" style="136" customWidth="1"/>
    <col min="9221" max="9221" width="19.5703125" style="136" customWidth="1"/>
    <col min="9222" max="9470" width="8.7109375" style="136"/>
    <col min="9471" max="9471" width="78.42578125" style="136" customWidth="1"/>
    <col min="9472" max="9472" width="14.5703125" style="136" customWidth="1"/>
    <col min="9473" max="9473" width="23.7109375" style="136" customWidth="1"/>
    <col min="9474" max="9474" width="21.5703125" style="136" customWidth="1"/>
    <col min="9475" max="9475" width="22.7109375" style="136" customWidth="1"/>
    <col min="9476" max="9476" width="22.5703125" style="136" customWidth="1"/>
    <col min="9477" max="9477" width="19.5703125" style="136" customWidth="1"/>
    <col min="9478" max="9726" width="8.7109375" style="136"/>
    <col min="9727" max="9727" width="78.42578125" style="136" customWidth="1"/>
    <col min="9728" max="9728" width="14.5703125" style="136" customWidth="1"/>
    <col min="9729" max="9729" width="23.7109375" style="136" customWidth="1"/>
    <col min="9730" max="9730" width="21.5703125" style="136" customWidth="1"/>
    <col min="9731" max="9731" width="22.7109375" style="136" customWidth="1"/>
    <col min="9732" max="9732" width="22.5703125" style="136" customWidth="1"/>
    <col min="9733" max="9733" width="19.5703125" style="136" customWidth="1"/>
    <col min="9734" max="9982" width="8.7109375" style="136"/>
    <col min="9983" max="9983" width="78.42578125" style="136" customWidth="1"/>
    <col min="9984" max="9984" width="14.5703125" style="136" customWidth="1"/>
    <col min="9985" max="9985" width="23.7109375" style="136" customWidth="1"/>
    <col min="9986" max="9986" width="21.5703125" style="136" customWidth="1"/>
    <col min="9987" max="9987" width="22.7109375" style="136" customWidth="1"/>
    <col min="9988" max="9988" width="22.5703125" style="136" customWidth="1"/>
    <col min="9989" max="9989" width="19.5703125" style="136" customWidth="1"/>
    <col min="9990" max="10238" width="8.7109375" style="136"/>
    <col min="10239" max="10239" width="78.42578125" style="136" customWidth="1"/>
    <col min="10240" max="10240" width="14.5703125" style="136" customWidth="1"/>
    <col min="10241" max="10241" width="23.7109375" style="136" customWidth="1"/>
    <col min="10242" max="10242" width="21.5703125" style="136" customWidth="1"/>
    <col min="10243" max="10243" width="22.7109375" style="136" customWidth="1"/>
    <col min="10244" max="10244" width="22.5703125" style="136" customWidth="1"/>
    <col min="10245" max="10245" width="19.5703125" style="136" customWidth="1"/>
    <col min="10246" max="10494" width="8.7109375" style="136"/>
    <col min="10495" max="10495" width="78.42578125" style="136" customWidth="1"/>
    <col min="10496" max="10496" width="14.5703125" style="136" customWidth="1"/>
    <col min="10497" max="10497" width="23.7109375" style="136" customWidth="1"/>
    <col min="10498" max="10498" width="21.5703125" style="136" customWidth="1"/>
    <col min="10499" max="10499" width="22.7109375" style="136" customWidth="1"/>
    <col min="10500" max="10500" width="22.5703125" style="136" customWidth="1"/>
    <col min="10501" max="10501" width="19.5703125" style="136" customWidth="1"/>
    <col min="10502" max="10750" width="8.7109375" style="136"/>
    <col min="10751" max="10751" width="78.42578125" style="136" customWidth="1"/>
    <col min="10752" max="10752" width="14.5703125" style="136" customWidth="1"/>
    <col min="10753" max="10753" width="23.7109375" style="136" customWidth="1"/>
    <col min="10754" max="10754" width="21.5703125" style="136" customWidth="1"/>
    <col min="10755" max="10755" width="22.7109375" style="136" customWidth="1"/>
    <col min="10756" max="10756" width="22.5703125" style="136" customWidth="1"/>
    <col min="10757" max="10757" width="19.5703125" style="136" customWidth="1"/>
    <col min="10758" max="11006" width="8.7109375" style="136"/>
    <col min="11007" max="11007" width="78.42578125" style="136" customWidth="1"/>
    <col min="11008" max="11008" width="14.5703125" style="136" customWidth="1"/>
    <col min="11009" max="11009" width="23.7109375" style="136" customWidth="1"/>
    <col min="11010" max="11010" width="21.5703125" style="136" customWidth="1"/>
    <col min="11011" max="11011" width="22.7109375" style="136" customWidth="1"/>
    <col min="11012" max="11012" width="22.5703125" style="136" customWidth="1"/>
    <col min="11013" max="11013" width="19.5703125" style="136" customWidth="1"/>
    <col min="11014" max="11262" width="8.7109375" style="136"/>
    <col min="11263" max="11263" width="78.42578125" style="136" customWidth="1"/>
    <col min="11264" max="11264" width="14.5703125" style="136" customWidth="1"/>
    <col min="11265" max="11265" width="23.7109375" style="136" customWidth="1"/>
    <col min="11266" max="11266" width="21.5703125" style="136" customWidth="1"/>
    <col min="11267" max="11267" width="22.7109375" style="136" customWidth="1"/>
    <col min="11268" max="11268" width="22.5703125" style="136" customWidth="1"/>
    <col min="11269" max="11269" width="19.5703125" style="136" customWidth="1"/>
    <col min="11270" max="11518" width="8.7109375" style="136"/>
    <col min="11519" max="11519" width="78.42578125" style="136" customWidth="1"/>
    <col min="11520" max="11520" width="14.5703125" style="136" customWidth="1"/>
    <col min="11521" max="11521" width="23.7109375" style="136" customWidth="1"/>
    <col min="11522" max="11522" width="21.5703125" style="136" customWidth="1"/>
    <col min="11523" max="11523" width="22.7109375" style="136" customWidth="1"/>
    <col min="11524" max="11524" width="22.5703125" style="136" customWidth="1"/>
    <col min="11525" max="11525" width="19.5703125" style="136" customWidth="1"/>
    <col min="11526" max="11774" width="8.7109375" style="136"/>
    <col min="11775" max="11775" width="78.42578125" style="136" customWidth="1"/>
    <col min="11776" max="11776" width="14.5703125" style="136" customWidth="1"/>
    <col min="11777" max="11777" width="23.7109375" style="136" customWidth="1"/>
    <col min="11778" max="11778" width="21.5703125" style="136" customWidth="1"/>
    <col min="11779" max="11779" width="22.7109375" style="136" customWidth="1"/>
    <col min="11780" max="11780" width="22.5703125" style="136" customWidth="1"/>
    <col min="11781" max="11781" width="19.5703125" style="136" customWidth="1"/>
    <col min="11782" max="12030" width="8.7109375" style="136"/>
    <col min="12031" max="12031" width="78.42578125" style="136" customWidth="1"/>
    <col min="12032" max="12032" width="14.5703125" style="136" customWidth="1"/>
    <col min="12033" max="12033" width="23.7109375" style="136" customWidth="1"/>
    <col min="12034" max="12034" width="21.5703125" style="136" customWidth="1"/>
    <col min="12035" max="12035" width="22.7109375" style="136" customWidth="1"/>
    <col min="12036" max="12036" width="22.5703125" style="136" customWidth="1"/>
    <col min="12037" max="12037" width="19.5703125" style="136" customWidth="1"/>
    <col min="12038" max="12286" width="8.7109375" style="136"/>
    <col min="12287" max="12287" width="78.42578125" style="136" customWidth="1"/>
    <col min="12288" max="12288" width="14.5703125" style="136" customWidth="1"/>
    <col min="12289" max="12289" width="23.7109375" style="136" customWidth="1"/>
    <col min="12290" max="12290" width="21.5703125" style="136" customWidth="1"/>
    <col min="12291" max="12291" width="22.7109375" style="136" customWidth="1"/>
    <col min="12292" max="12292" width="22.5703125" style="136" customWidth="1"/>
    <col min="12293" max="12293" width="19.5703125" style="136" customWidth="1"/>
    <col min="12294" max="12542" width="8.7109375" style="136"/>
    <col min="12543" max="12543" width="78.42578125" style="136" customWidth="1"/>
    <col min="12544" max="12544" width="14.5703125" style="136" customWidth="1"/>
    <col min="12545" max="12545" width="23.7109375" style="136" customWidth="1"/>
    <col min="12546" max="12546" width="21.5703125" style="136" customWidth="1"/>
    <col min="12547" max="12547" width="22.7109375" style="136" customWidth="1"/>
    <col min="12548" max="12548" width="22.5703125" style="136" customWidth="1"/>
    <col min="12549" max="12549" width="19.5703125" style="136" customWidth="1"/>
    <col min="12550" max="12798" width="8.7109375" style="136"/>
    <col min="12799" max="12799" width="78.42578125" style="136" customWidth="1"/>
    <col min="12800" max="12800" width="14.5703125" style="136" customWidth="1"/>
    <col min="12801" max="12801" width="23.7109375" style="136" customWidth="1"/>
    <col min="12802" max="12802" width="21.5703125" style="136" customWidth="1"/>
    <col min="12803" max="12803" width="22.7109375" style="136" customWidth="1"/>
    <col min="12804" max="12804" width="22.5703125" style="136" customWidth="1"/>
    <col min="12805" max="12805" width="19.5703125" style="136" customWidth="1"/>
    <col min="12806" max="13054" width="8.7109375" style="136"/>
    <col min="13055" max="13055" width="78.42578125" style="136" customWidth="1"/>
    <col min="13056" max="13056" width="14.5703125" style="136" customWidth="1"/>
    <col min="13057" max="13057" width="23.7109375" style="136" customWidth="1"/>
    <col min="13058" max="13058" width="21.5703125" style="136" customWidth="1"/>
    <col min="13059" max="13059" width="22.7109375" style="136" customWidth="1"/>
    <col min="13060" max="13060" width="22.5703125" style="136" customWidth="1"/>
    <col min="13061" max="13061" width="19.5703125" style="136" customWidth="1"/>
    <col min="13062" max="13310" width="8.7109375" style="136"/>
    <col min="13311" max="13311" width="78.42578125" style="136" customWidth="1"/>
    <col min="13312" max="13312" width="14.5703125" style="136" customWidth="1"/>
    <col min="13313" max="13313" width="23.7109375" style="136" customWidth="1"/>
    <col min="13314" max="13314" width="21.5703125" style="136" customWidth="1"/>
    <col min="13315" max="13315" width="22.7109375" style="136" customWidth="1"/>
    <col min="13316" max="13316" width="22.5703125" style="136" customWidth="1"/>
    <col min="13317" max="13317" width="19.5703125" style="136" customWidth="1"/>
    <col min="13318" max="13566" width="8.7109375" style="136"/>
    <col min="13567" max="13567" width="78.42578125" style="136" customWidth="1"/>
    <col min="13568" max="13568" width="14.5703125" style="136" customWidth="1"/>
    <col min="13569" max="13569" width="23.7109375" style="136" customWidth="1"/>
    <col min="13570" max="13570" width="21.5703125" style="136" customWidth="1"/>
    <col min="13571" max="13571" width="22.7109375" style="136" customWidth="1"/>
    <col min="13572" max="13572" width="22.5703125" style="136" customWidth="1"/>
    <col min="13573" max="13573" width="19.5703125" style="136" customWidth="1"/>
    <col min="13574" max="13822" width="8.7109375" style="136"/>
    <col min="13823" max="13823" width="78.42578125" style="136" customWidth="1"/>
    <col min="13824" max="13824" width="14.5703125" style="136" customWidth="1"/>
    <col min="13825" max="13825" width="23.7109375" style="136" customWidth="1"/>
    <col min="13826" max="13826" width="21.5703125" style="136" customWidth="1"/>
    <col min="13827" max="13827" width="22.7109375" style="136" customWidth="1"/>
    <col min="13828" max="13828" width="22.5703125" style="136" customWidth="1"/>
    <col min="13829" max="13829" width="19.5703125" style="136" customWidth="1"/>
    <col min="13830" max="14078" width="8.7109375" style="136"/>
    <col min="14079" max="14079" width="78.42578125" style="136" customWidth="1"/>
    <col min="14080" max="14080" width="14.5703125" style="136" customWidth="1"/>
    <col min="14081" max="14081" width="23.7109375" style="136" customWidth="1"/>
    <col min="14082" max="14082" width="21.5703125" style="136" customWidth="1"/>
    <col min="14083" max="14083" width="22.7109375" style="136" customWidth="1"/>
    <col min="14084" max="14084" width="22.5703125" style="136" customWidth="1"/>
    <col min="14085" max="14085" width="19.5703125" style="136" customWidth="1"/>
    <col min="14086" max="14334" width="8.7109375" style="136"/>
    <col min="14335" max="14335" width="78.42578125" style="136" customWidth="1"/>
    <col min="14336" max="14336" width="14.5703125" style="136" customWidth="1"/>
    <col min="14337" max="14337" width="23.7109375" style="136" customWidth="1"/>
    <col min="14338" max="14338" width="21.5703125" style="136" customWidth="1"/>
    <col min="14339" max="14339" width="22.7109375" style="136" customWidth="1"/>
    <col min="14340" max="14340" width="22.5703125" style="136" customWidth="1"/>
    <col min="14341" max="14341" width="19.5703125" style="136" customWidth="1"/>
    <col min="14342" max="14590" width="8.7109375" style="136"/>
    <col min="14591" max="14591" width="78.42578125" style="136" customWidth="1"/>
    <col min="14592" max="14592" width="14.5703125" style="136" customWidth="1"/>
    <col min="14593" max="14593" width="23.7109375" style="136" customWidth="1"/>
    <col min="14594" max="14594" width="21.5703125" style="136" customWidth="1"/>
    <col min="14595" max="14595" width="22.7109375" style="136" customWidth="1"/>
    <col min="14596" max="14596" width="22.5703125" style="136" customWidth="1"/>
    <col min="14597" max="14597" width="19.5703125" style="136" customWidth="1"/>
    <col min="14598" max="14846" width="8.7109375" style="136"/>
    <col min="14847" max="14847" width="78.42578125" style="136" customWidth="1"/>
    <col min="14848" max="14848" width="14.5703125" style="136" customWidth="1"/>
    <col min="14849" max="14849" width="23.7109375" style="136" customWidth="1"/>
    <col min="14850" max="14850" width="21.5703125" style="136" customWidth="1"/>
    <col min="14851" max="14851" width="22.7109375" style="136" customWidth="1"/>
    <col min="14852" max="14852" width="22.5703125" style="136" customWidth="1"/>
    <col min="14853" max="14853" width="19.5703125" style="136" customWidth="1"/>
    <col min="14854" max="15102" width="8.7109375" style="136"/>
    <col min="15103" max="15103" width="78.42578125" style="136" customWidth="1"/>
    <col min="15104" max="15104" width="14.5703125" style="136" customWidth="1"/>
    <col min="15105" max="15105" width="23.7109375" style="136" customWidth="1"/>
    <col min="15106" max="15106" width="21.5703125" style="136" customWidth="1"/>
    <col min="15107" max="15107" width="22.7109375" style="136" customWidth="1"/>
    <col min="15108" max="15108" width="22.5703125" style="136" customWidth="1"/>
    <col min="15109" max="15109" width="19.5703125" style="136" customWidth="1"/>
    <col min="15110" max="15358" width="8.7109375" style="136"/>
    <col min="15359" max="15359" width="78.42578125" style="136" customWidth="1"/>
    <col min="15360" max="15360" width="14.5703125" style="136" customWidth="1"/>
    <col min="15361" max="15361" width="23.7109375" style="136" customWidth="1"/>
    <col min="15362" max="15362" width="21.5703125" style="136" customWidth="1"/>
    <col min="15363" max="15363" width="22.7109375" style="136" customWidth="1"/>
    <col min="15364" max="15364" width="22.5703125" style="136" customWidth="1"/>
    <col min="15365" max="15365" width="19.5703125" style="136" customWidth="1"/>
    <col min="15366" max="15614" width="8.7109375" style="136"/>
    <col min="15615" max="15615" width="78.42578125" style="136" customWidth="1"/>
    <col min="15616" max="15616" width="14.5703125" style="136" customWidth="1"/>
    <col min="15617" max="15617" width="23.7109375" style="136" customWidth="1"/>
    <col min="15618" max="15618" width="21.5703125" style="136" customWidth="1"/>
    <col min="15619" max="15619" width="22.7109375" style="136" customWidth="1"/>
    <col min="15620" max="15620" width="22.5703125" style="136" customWidth="1"/>
    <col min="15621" max="15621" width="19.5703125" style="136" customWidth="1"/>
    <col min="15622" max="15870" width="8.7109375" style="136"/>
    <col min="15871" max="15871" width="78.42578125" style="136" customWidth="1"/>
    <col min="15872" max="15872" width="14.5703125" style="136" customWidth="1"/>
    <col min="15873" max="15873" width="23.7109375" style="136" customWidth="1"/>
    <col min="15874" max="15874" width="21.5703125" style="136" customWidth="1"/>
    <col min="15875" max="15875" width="22.7109375" style="136" customWidth="1"/>
    <col min="15876" max="15876" width="22.5703125" style="136" customWidth="1"/>
    <col min="15877" max="15877" width="19.5703125" style="136" customWidth="1"/>
    <col min="15878" max="16126" width="8.7109375" style="136"/>
    <col min="16127" max="16127" width="78.42578125" style="136" customWidth="1"/>
    <col min="16128" max="16128" width="14.5703125" style="136" customWidth="1"/>
    <col min="16129" max="16129" width="23.7109375" style="136" customWidth="1"/>
    <col min="16130" max="16130" width="21.5703125" style="136" customWidth="1"/>
    <col min="16131" max="16131" width="22.7109375" style="136" customWidth="1"/>
    <col min="16132" max="16132" width="22.5703125" style="136" customWidth="1"/>
    <col min="16133" max="16133" width="19.5703125" style="136" customWidth="1"/>
    <col min="16134" max="16383" width="8.7109375" style="136"/>
    <col min="16384" max="16384" width="8.7109375" style="136" customWidth="1"/>
  </cols>
  <sheetData>
    <row r="1" spans="1:7" x14ac:dyDescent="0.25">
      <c r="A1" s="135" t="s">
        <v>785</v>
      </c>
      <c r="B1" s="678" t="str">
        <f>'Szociális kiadások'!B1</f>
        <v>melléklet a 4/2021.(III.08.) önkormányzati rendelethez</v>
      </c>
    </row>
    <row r="2" spans="1:7" ht="23.25" customHeight="1" x14ac:dyDescent="0.25">
      <c r="B2" s="794" t="str">
        <f>'Szociális kiadások'!B2:D2</f>
        <v>Az önkormányzat 2022.évi költségvetése</v>
      </c>
      <c r="C2" s="796"/>
      <c r="D2" s="796"/>
      <c r="E2" s="796"/>
    </row>
    <row r="3" spans="1:7" ht="25.5" customHeight="1" x14ac:dyDescent="0.25">
      <c r="B3" s="798" t="s">
        <v>786</v>
      </c>
      <c r="C3" s="796"/>
      <c r="D3" s="796"/>
      <c r="E3" s="796"/>
    </row>
    <row r="4" spans="1:7" ht="18" x14ac:dyDescent="0.25">
      <c r="B4" s="156"/>
      <c r="C4" s="138"/>
      <c r="D4" s="138"/>
      <c r="E4" s="138"/>
    </row>
    <row r="5" spans="1:7" ht="20.25" customHeight="1" x14ac:dyDescent="0.25">
      <c r="B5" s="175" t="s">
        <v>595</v>
      </c>
    </row>
    <row r="6" spans="1:7" ht="32.25" customHeight="1" x14ac:dyDescent="0.25">
      <c r="B6" s="140" t="s">
        <v>130</v>
      </c>
      <c r="C6" s="141" t="s">
        <v>190</v>
      </c>
      <c r="D6" s="141" t="s">
        <v>787</v>
      </c>
      <c r="E6" s="140" t="s">
        <v>193</v>
      </c>
    </row>
    <row r="7" spans="1:7" ht="26.25" customHeight="1" x14ac:dyDescent="0.25">
      <c r="B7" s="194" t="s">
        <v>788</v>
      </c>
      <c r="C7" s="152" t="s">
        <v>377</v>
      </c>
      <c r="D7" s="149">
        <f>SUM('ÖNK kiadás cofogra'!E202)</f>
        <v>79475225.599999994</v>
      </c>
      <c r="E7" s="151">
        <f>SUM(D7:D7)</f>
        <v>79475225.599999994</v>
      </c>
      <c r="G7" s="150"/>
    </row>
    <row r="8" spans="1:7" ht="26.25" customHeight="1" x14ac:dyDescent="0.25">
      <c r="B8" s="194" t="s">
        <v>789</v>
      </c>
      <c r="C8" s="152" t="s">
        <v>377</v>
      </c>
      <c r="D8" s="145"/>
      <c r="E8" s="145"/>
    </row>
    <row r="9" spans="1:7" ht="22.5" customHeight="1" x14ac:dyDescent="0.25">
      <c r="B9" s="140" t="s">
        <v>790</v>
      </c>
      <c r="C9" s="140"/>
      <c r="D9" s="151">
        <f t="shared" ref="D9" si="0">SUM(D7:D8)</f>
        <v>79475225.599999994</v>
      </c>
      <c r="E9" s="151">
        <f>SUM(E7:E8)</f>
        <v>79475225.599999994</v>
      </c>
    </row>
    <row r="11" spans="1:7" x14ac:dyDescent="0.25">
      <c r="E11" s="380"/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1" sqref="B1"/>
    </sheetView>
  </sheetViews>
  <sheetFormatPr defaultRowHeight="15" x14ac:dyDescent="0.25"/>
  <cols>
    <col min="1" max="1" width="3.28515625" style="136" customWidth="1"/>
    <col min="2" max="2" width="101.28515625" style="136" customWidth="1"/>
    <col min="3" max="3" width="8.7109375" style="136"/>
    <col min="4" max="4" width="22" style="136" customWidth="1"/>
    <col min="5" max="5" width="24.85546875" style="136" customWidth="1"/>
    <col min="6" max="6" width="23.42578125" style="136" customWidth="1"/>
    <col min="7" max="7" width="23.7109375" style="136" customWidth="1"/>
    <col min="8" max="253" width="8.7109375" style="136"/>
    <col min="254" max="254" width="101.28515625" style="136" customWidth="1"/>
    <col min="255" max="255" width="8.7109375" style="136"/>
    <col min="256" max="256" width="22" style="136" customWidth="1"/>
    <col min="257" max="257" width="24.85546875" style="136" customWidth="1"/>
    <col min="258" max="258" width="23.42578125" style="136" customWidth="1"/>
    <col min="259" max="259" width="23.7109375" style="136" customWidth="1"/>
    <col min="260" max="260" width="12.140625" style="136" customWidth="1"/>
    <col min="261" max="261" width="11.140625" style="136" customWidth="1"/>
    <col min="262" max="262" width="12.28515625" style="136" customWidth="1"/>
    <col min="263" max="263" width="12" style="136" customWidth="1"/>
    <col min="264" max="509" width="8.7109375" style="136"/>
    <col min="510" max="510" width="101.28515625" style="136" customWidth="1"/>
    <col min="511" max="511" width="8.7109375" style="136"/>
    <col min="512" max="512" width="22" style="136" customWidth="1"/>
    <col min="513" max="513" width="24.85546875" style="136" customWidth="1"/>
    <col min="514" max="514" width="23.42578125" style="136" customWidth="1"/>
    <col min="515" max="515" width="23.7109375" style="136" customWidth="1"/>
    <col min="516" max="516" width="12.140625" style="136" customWidth="1"/>
    <col min="517" max="517" width="11.140625" style="136" customWidth="1"/>
    <col min="518" max="518" width="12.28515625" style="136" customWidth="1"/>
    <col min="519" max="519" width="12" style="136" customWidth="1"/>
    <col min="520" max="765" width="8.7109375" style="136"/>
    <col min="766" max="766" width="101.28515625" style="136" customWidth="1"/>
    <col min="767" max="767" width="8.7109375" style="136"/>
    <col min="768" max="768" width="22" style="136" customWidth="1"/>
    <col min="769" max="769" width="24.85546875" style="136" customWidth="1"/>
    <col min="770" max="770" width="23.42578125" style="136" customWidth="1"/>
    <col min="771" max="771" width="23.7109375" style="136" customWidth="1"/>
    <col min="772" max="772" width="12.140625" style="136" customWidth="1"/>
    <col min="773" max="773" width="11.140625" style="136" customWidth="1"/>
    <col min="774" max="774" width="12.28515625" style="136" customWidth="1"/>
    <col min="775" max="775" width="12" style="136" customWidth="1"/>
    <col min="776" max="1021" width="8.7109375" style="136"/>
    <col min="1022" max="1022" width="101.28515625" style="136" customWidth="1"/>
    <col min="1023" max="1023" width="8.7109375" style="136"/>
    <col min="1024" max="1024" width="22" style="136" customWidth="1"/>
    <col min="1025" max="1025" width="24.85546875" style="136" customWidth="1"/>
    <col min="1026" max="1026" width="23.42578125" style="136" customWidth="1"/>
    <col min="1027" max="1027" width="23.7109375" style="136" customWidth="1"/>
    <col min="1028" max="1028" width="12.140625" style="136" customWidth="1"/>
    <col min="1029" max="1029" width="11.140625" style="136" customWidth="1"/>
    <col min="1030" max="1030" width="12.28515625" style="136" customWidth="1"/>
    <col min="1031" max="1031" width="12" style="136" customWidth="1"/>
    <col min="1032" max="1277" width="8.7109375" style="136"/>
    <col min="1278" max="1278" width="101.28515625" style="136" customWidth="1"/>
    <col min="1279" max="1279" width="8.7109375" style="136"/>
    <col min="1280" max="1280" width="22" style="136" customWidth="1"/>
    <col min="1281" max="1281" width="24.85546875" style="136" customWidth="1"/>
    <col min="1282" max="1282" width="23.42578125" style="136" customWidth="1"/>
    <col min="1283" max="1283" width="23.7109375" style="136" customWidth="1"/>
    <col min="1284" max="1284" width="12.140625" style="136" customWidth="1"/>
    <col min="1285" max="1285" width="11.140625" style="136" customWidth="1"/>
    <col min="1286" max="1286" width="12.28515625" style="136" customWidth="1"/>
    <col min="1287" max="1287" width="12" style="136" customWidth="1"/>
    <col min="1288" max="1533" width="8.7109375" style="136"/>
    <col min="1534" max="1534" width="101.28515625" style="136" customWidth="1"/>
    <col min="1535" max="1535" width="8.7109375" style="136"/>
    <col min="1536" max="1536" width="22" style="136" customWidth="1"/>
    <col min="1537" max="1537" width="24.85546875" style="136" customWidth="1"/>
    <col min="1538" max="1538" width="23.42578125" style="136" customWidth="1"/>
    <col min="1539" max="1539" width="23.7109375" style="136" customWidth="1"/>
    <col min="1540" max="1540" width="12.140625" style="136" customWidth="1"/>
    <col min="1541" max="1541" width="11.140625" style="136" customWidth="1"/>
    <col min="1542" max="1542" width="12.28515625" style="136" customWidth="1"/>
    <col min="1543" max="1543" width="12" style="136" customWidth="1"/>
    <col min="1544" max="1789" width="8.7109375" style="136"/>
    <col min="1790" max="1790" width="101.28515625" style="136" customWidth="1"/>
    <col min="1791" max="1791" width="8.7109375" style="136"/>
    <col min="1792" max="1792" width="22" style="136" customWidth="1"/>
    <col min="1793" max="1793" width="24.85546875" style="136" customWidth="1"/>
    <col min="1794" max="1794" width="23.42578125" style="136" customWidth="1"/>
    <col min="1795" max="1795" width="23.7109375" style="136" customWidth="1"/>
    <col min="1796" max="1796" width="12.140625" style="136" customWidth="1"/>
    <col min="1797" max="1797" width="11.140625" style="136" customWidth="1"/>
    <col min="1798" max="1798" width="12.28515625" style="136" customWidth="1"/>
    <col min="1799" max="1799" width="12" style="136" customWidth="1"/>
    <col min="1800" max="2045" width="8.7109375" style="136"/>
    <col min="2046" max="2046" width="101.28515625" style="136" customWidth="1"/>
    <col min="2047" max="2047" width="8.7109375" style="136"/>
    <col min="2048" max="2048" width="22" style="136" customWidth="1"/>
    <col min="2049" max="2049" width="24.85546875" style="136" customWidth="1"/>
    <col min="2050" max="2050" width="23.42578125" style="136" customWidth="1"/>
    <col min="2051" max="2051" width="23.7109375" style="136" customWidth="1"/>
    <col min="2052" max="2052" width="12.140625" style="136" customWidth="1"/>
    <col min="2053" max="2053" width="11.140625" style="136" customWidth="1"/>
    <col min="2054" max="2054" width="12.28515625" style="136" customWidth="1"/>
    <col min="2055" max="2055" width="12" style="136" customWidth="1"/>
    <col min="2056" max="2301" width="8.7109375" style="136"/>
    <col min="2302" max="2302" width="101.28515625" style="136" customWidth="1"/>
    <col min="2303" max="2303" width="8.7109375" style="136"/>
    <col min="2304" max="2304" width="22" style="136" customWidth="1"/>
    <col min="2305" max="2305" width="24.85546875" style="136" customWidth="1"/>
    <col min="2306" max="2306" width="23.42578125" style="136" customWidth="1"/>
    <col min="2307" max="2307" width="23.7109375" style="136" customWidth="1"/>
    <col min="2308" max="2308" width="12.140625" style="136" customWidth="1"/>
    <col min="2309" max="2309" width="11.140625" style="136" customWidth="1"/>
    <col min="2310" max="2310" width="12.28515625" style="136" customWidth="1"/>
    <col min="2311" max="2311" width="12" style="136" customWidth="1"/>
    <col min="2312" max="2557" width="8.7109375" style="136"/>
    <col min="2558" max="2558" width="101.28515625" style="136" customWidth="1"/>
    <col min="2559" max="2559" width="8.7109375" style="136"/>
    <col min="2560" max="2560" width="22" style="136" customWidth="1"/>
    <col min="2561" max="2561" width="24.85546875" style="136" customWidth="1"/>
    <col min="2562" max="2562" width="23.42578125" style="136" customWidth="1"/>
    <col min="2563" max="2563" width="23.7109375" style="136" customWidth="1"/>
    <col min="2564" max="2564" width="12.140625" style="136" customWidth="1"/>
    <col min="2565" max="2565" width="11.140625" style="136" customWidth="1"/>
    <col min="2566" max="2566" width="12.28515625" style="136" customWidth="1"/>
    <col min="2567" max="2567" width="12" style="136" customWidth="1"/>
    <col min="2568" max="2813" width="8.7109375" style="136"/>
    <col min="2814" max="2814" width="101.28515625" style="136" customWidth="1"/>
    <col min="2815" max="2815" width="8.7109375" style="136"/>
    <col min="2816" max="2816" width="22" style="136" customWidth="1"/>
    <col min="2817" max="2817" width="24.85546875" style="136" customWidth="1"/>
    <col min="2818" max="2818" width="23.42578125" style="136" customWidth="1"/>
    <col min="2819" max="2819" width="23.7109375" style="136" customWidth="1"/>
    <col min="2820" max="2820" width="12.140625" style="136" customWidth="1"/>
    <col min="2821" max="2821" width="11.140625" style="136" customWidth="1"/>
    <col min="2822" max="2822" width="12.28515625" style="136" customWidth="1"/>
    <col min="2823" max="2823" width="12" style="136" customWidth="1"/>
    <col min="2824" max="3069" width="8.7109375" style="136"/>
    <col min="3070" max="3070" width="101.28515625" style="136" customWidth="1"/>
    <col min="3071" max="3071" width="8.7109375" style="136"/>
    <col min="3072" max="3072" width="22" style="136" customWidth="1"/>
    <col min="3073" max="3073" width="24.85546875" style="136" customWidth="1"/>
    <col min="3074" max="3074" width="23.42578125" style="136" customWidth="1"/>
    <col min="3075" max="3075" width="23.7109375" style="136" customWidth="1"/>
    <col min="3076" max="3076" width="12.140625" style="136" customWidth="1"/>
    <col min="3077" max="3077" width="11.140625" style="136" customWidth="1"/>
    <col min="3078" max="3078" width="12.28515625" style="136" customWidth="1"/>
    <col min="3079" max="3079" width="12" style="136" customWidth="1"/>
    <col min="3080" max="3325" width="8.7109375" style="136"/>
    <col min="3326" max="3326" width="101.28515625" style="136" customWidth="1"/>
    <col min="3327" max="3327" width="8.7109375" style="136"/>
    <col min="3328" max="3328" width="22" style="136" customWidth="1"/>
    <col min="3329" max="3329" width="24.85546875" style="136" customWidth="1"/>
    <col min="3330" max="3330" width="23.42578125" style="136" customWidth="1"/>
    <col min="3331" max="3331" width="23.7109375" style="136" customWidth="1"/>
    <col min="3332" max="3332" width="12.140625" style="136" customWidth="1"/>
    <col min="3333" max="3333" width="11.140625" style="136" customWidth="1"/>
    <col min="3334" max="3334" width="12.28515625" style="136" customWidth="1"/>
    <col min="3335" max="3335" width="12" style="136" customWidth="1"/>
    <col min="3336" max="3581" width="8.7109375" style="136"/>
    <col min="3582" max="3582" width="101.28515625" style="136" customWidth="1"/>
    <col min="3583" max="3583" width="8.7109375" style="136"/>
    <col min="3584" max="3584" width="22" style="136" customWidth="1"/>
    <col min="3585" max="3585" width="24.85546875" style="136" customWidth="1"/>
    <col min="3586" max="3586" width="23.42578125" style="136" customWidth="1"/>
    <col min="3587" max="3587" width="23.7109375" style="136" customWidth="1"/>
    <col min="3588" max="3588" width="12.140625" style="136" customWidth="1"/>
    <col min="3589" max="3589" width="11.140625" style="136" customWidth="1"/>
    <col min="3590" max="3590" width="12.28515625" style="136" customWidth="1"/>
    <col min="3591" max="3591" width="12" style="136" customWidth="1"/>
    <col min="3592" max="3837" width="8.7109375" style="136"/>
    <col min="3838" max="3838" width="101.28515625" style="136" customWidth="1"/>
    <col min="3839" max="3839" width="8.7109375" style="136"/>
    <col min="3840" max="3840" width="22" style="136" customWidth="1"/>
    <col min="3841" max="3841" width="24.85546875" style="136" customWidth="1"/>
    <col min="3842" max="3842" width="23.42578125" style="136" customWidth="1"/>
    <col min="3843" max="3843" width="23.7109375" style="136" customWidth="1"/>
    <col min="3844" max="3844" width="12.140625" style="136" customWidth="1"/>
    <col min="3845" max="3845" width="11.140625" style="136" customWidth="1"/>
    <col min="3846" max="3846" width="12.28515625" style="136" customWidth="1"/>
    <col min="3847" max="3847" width="12" style="136" customWidth="1"/>
    <col min="3848" max="4093" width="8.7109375" style="136"/>
    <col min="4094" max="4094" width="101.28515625" style="136" customWidth="1"/>
    <col min="4095" max="4095" width="8.7109375" style="136"/>
    <col min="4096" max="4096" width="22" style="136" customWidth="1"/>
    <col min="4097" max="4097" width="24.85546875" style="136" customWidth="1"/>
    <col min="4098" max="4098" width="23.42578125" style="136" customWidth="1"/>
    <col min="4099" max="4099" width="23.7109375" style="136" customWidth="1"/>
    <col min="4100" max="4100" width="12.140625" style="136" customWidth="1"/>
    <col min="4101" max="4101" width="11.140625" style="136" customWidth="1"/>
    <col min="4102" max="4102" width="12.28515625" style="136" customWidth="1"/>
    <col min="4103" max="4103" width="12" style="136" customWidth="1"/>
    <col min="4104" max="4349" width="8.7109375" style="136"/>
    <col min="4350" max="4350" width="101.28515625" style="136" customWidth="1"/>
    <col min="4351" max="4351" width="8.7109375" style="136"/>
    <col min="4352" max="4352" width="22" style="136" customWidth="1"/>
    <col min="4353" max="4353" width="24.85546875" style="136" customWidth="1"/>
    <col min="4354" max="4354" width="23.42578125" style="136" customWidth="1"/>
    <col min="4355" max="4355" width="23.7109375" style="136" customWidth="1"/>
    <col min="4356" max="4356" width="12.140625" style="136" customWidth="1"/>
    <col min="4357" max="4357" width="11.140625" style="136" customWidth="1"/>
    <col min="4358" max="4358" width="12.28515625" style="136" customWidth="1"/>
    <col min="4359" max="4359" width="12" style="136" customWidth="1"/>
    <col min="4360" max="4605" width="8.7109375" style="136"/>
    <col min="4606" max="4606" width="101.28515625" style="136" customWidth="1"/>
    <col min="4607" max="4607" width="8.7109375" style="136"/>
    <col min="4608" max="4608" width="22" style="136" customWidth="1"/>
    <col min="4609" max="4609" width="24.85546875" style="136" customWidth="1"/>
    <col min="4610" max="4610" width="23.42578125" style="136" customWidth="1"/>
    <col min="4611" max="4611" width="23.7109375" style="136" customWidth="1"/>
    <col min="4612" max="4612" width="12.140625" style="136" customWidth="1"/>
    <col min="4613" max="4613" width="11.140625" style="136" customWidth="1"/>
    <col min="4614" max="4614" width="12.28515625" style="136" customWidth="1"/>
    <col min="4615" max="4615" width="12" style="136" customWidth="1"/>
    <col min="4616" max="4861" width="8.7109375" style="136"/>
    <col min="4862" max="4862" width="101.28515625" style="136" customWidth="1"/>
    <col min="4863" max="4863" width="8.7109375" style="136"/>
    <col min="4864" max="4864" width="22" style="136" customWidth="1"/>
    <col min="4865" max="4865" width="24.85546875" style="136" customWidth="1"/>
    <col min="4866" max="4866" width="23.42578125" style="136" customWidth="1"/>
    <col min="4867" max="4867" width="23.7109375" style="136" customWidth="1"/>
    <col min="4868" max="4868" width="12.140625" style="136" customWidth="1"/>
    <col min="4869" max="4869" width="11.140625" style="136" customWidth="1"/>
    <col min="4870" max="4870" width="12.28515625" style="136" customWidth="1"/>
    <col min="4871" max="4871" width="12" style="136" customWidth="1"/>
    <col min="4872" max="5117" width="8.7109375" style="136"/>
    <col min="5118" max="5118" width="101.28515625" style="136" customWidth="1"/>
    <col min="5119" max="5119" width="8.7109375" style="136"/>
    <col min="5120" max="5120" width="22" style="136" customWidth="1"/>
    <col min="5121" max="5121" width="24.85546875" style="136" customWidth="1"/>
    <col min="5122" max="5122" width="23.42578125" style="136" customWidth="1"/>
    <col min="5123" max="5123" width="23.7109375" style="136" customWidth="1"/>
    <col min="5124" max="5124" width="12.140625" style="136" customWidth="1"/>
    <col min="5125" max="5125" width="11.140625" style="136" customWidth="1"/>
    <col min="5126" max="5126" width="12.28515625" style="136" customWidth="1"/>
    <col min="5127" max="5127" width="12" style="136" customWidth="1"/>
    <col min="5128" max="5373" width="8.7109375" style="136"/>
    <col min="5374" max="5374" width="101.28515625" style="136" customWidth="1"/>
    <col min="5375" max="5375" width="8.7109375" style="136"/>
    <col min="5376" max="5376" width="22" style="136" customWidth="1"/>
    <col min="5377" max="5377" width="24.85546875" style="136" customWidth="1"/>
    <col min="5378" max="5378" width="23.42578125" style="136" customWidth="1"/>
    <col min="5379" max="5379" width="23.7109375" style="136" customWidth="1"/>
    <col min="5380" max="5380" width="12.140625" style="136" customWidth="1"/>
    <col min="5381" max="5381" width="11.140625" style="136" customWidth="1"/>
    <col min="5382" max="5382" width="12.28515625" style="136" customWidth="1"/>
    <col min="5383" max="5383" width="12" style="136" customWidth="1"/>
    <col min="5384" max="5629" width="8.7109375" style="136"/>
    <col min="5630" max="5630" width="101.28515625" style="136" customWidth="1"/>
    <col min="5631" max="5631" width="8.7109375" style="136"/>
    <col min="5632" max="5632" width="22" style="136" customWidth="1"/>
    <col min="5633" max="5633" width="24.85546875" style="136" customWidth="1"/>
    <col min="5634" max="5634" width="23.42578125" style="136" customWidth="1"/>
    <col min="5635" max="5635" width="23.7109375" style="136" customWidth="1"/>
    <col min="5636" max="5636" width="12.140625" style="136" customWidth="1"/>
    <col min="5637" max="5637" width="11.140625" style="136" customWidth="1"/>
    <col min="5638" max="5638" width="12.28515625" style="136" customWidth="1"/>
    <col min="5639" max="5639" width="12" style="136" customWidth="1"/>
    <col min="5640" max="5885" width="8.7109375" style="136"/>
    <col min="5886" max="5886" width="101.28515625" style="136" customWidth="1"/>
    <col min="5887" max="5887" width="8.7109375" style="136"/>
    <col min="5888" max="5888" width="22" style="136" customWidth="1"/>
    <col min="5889" max="5889" width="24.85546875" style="136" customWidth="1"/>
    <col min="5890" max="5890" width="23.42578125" style="136" customWidth="1"/>
    <col min="5891" max="5891" width="23.7109375" style="136" customWidth="1"/>
    <col min="5892" max="5892" width="12.140625" style="136" customWidth="1"/>
    <col min="5893" max="5893" width="11.140625" style="136" customWidth="1"/>
    <col min="5894" max="5894" width="12.28515625" style="136" customWidth="1"/>
    <col min="5895" max="5895" width="12" style="136" customWidth="1"/>
    <col min="5896" max="6141" width="8.7109375" style="136"/>
    <col min="6142" max="6142" width="101.28515625" style="136" customWidth="1"/>
    <col min="6143" max="6143" width="8.7109375" style="136"/>
    <col min="6144" max="6144" width="22" style="136" customWidth="1"/>
    <col min="6145" max="6145" width="24.85546875" style="136" customWidth="1"/>
    <col min="6146" max="6146" width="23.42578125" style="136" customWidth="1"/>
    <col min="6147" max="6147" width="23.7109375" style="136" customWidth="1"/>
    <col min="6148" max="6148" width="12.140625" style="136" customWidth="1"/>
    <col min="6149" max="6149" width="11.140625" style="136" customWidth="1"/>
    <col min="6150" max="6150" width="12.28515625" style="136" customWidth="1"/>
    <col min="6151" max="6151" width="12" style="136" customWidth="1"/>
    <col min="6152" max="6397" width="8.7109375" style="136"/>
    <col min="6398" max="6398" width="101.28515625" style="136" customWidth="1"/>
    <col min="6399" max="6399" width="8.7109375" style="136"/>
    <col min="6400" max="6400" width="22" style="136" customWidth="1"/>
    <col min="6401" max="6401" width="24.85546875" style="136" customWidth="1"/>
    <col min="6402" max="6402" width="23.42578125" style="136" customWidth="1"/>
    <col min="6403" max="6403" width="23.7109375" style="136" customWidth="1"/>
    <col min="6404" max="6404" width="12.140625" style="136" customWidth="1"/>
    <col min="6405" max="6405" width="11.140625" style="136" customWidth="1"/>
    <col min="6406" max="6406" width="12.28515625" style="136" customWidth="1"/>
    <col min="6407" max="6407" width="12" style="136" customWidth="1"/>
    <col min="6408" max="6653" width="8.7109375" style="136"/>
    <col min="6654" max="6654" width="101.28515625" style="136" customWidth="1"/>
    <col min="6655" max="6655" width="8.7109375" style="136"/>
    <col min="6656" max="6656" width="22" style="136" customWidth="1"/>
    <col min="6657" max="6657" width="24.85546875" style="136" customWidth="1"/>
    <col min="6658" max="6658" width="23.42578125" style="136" customWidth="1"/>
    <col min="6659" max="6659" width="23.7109375" style="136" customWidth="1"/>
    <col min="6660" max="6660" width="12.140625" style="136" customWidth="1"/>
    <col min="6661" max="6661" width="11.140625" style="136" customWidth="1"/>
    <col min="6662" max="6662" width="12.28515625" style="136" customWidth="1"/>
    <col min="6663" max="6663" width="12" style="136" customWidth="1"/>
    <col min="6664" max="6909" width="8.7109375" style="136"/>
    <col min="6910" max="6910" width="101.28515625" style="136" customWidth="1"/>
    <col min="6911" max="6911" width="8.7109375" style="136"/>
    <col min="6912" max="6912" width="22" style="136" customWidth="1"/>
    <col min="6913" max="6913" width="24.85546875" style="136" customWidth="1"/>
    <col min="6914" max="6914" width="23.42578125" style="136" customWidth="1"/>
    <col min="6915" max="6915" width="23.7109375" style="136" customWidth="1"/>
    <col min="6916" max="6916" width="12.140625" style="136" customWidth="1"/>
    <col min="6917" max="6917" width="11.140625" style="136" customWidth="1"/>
    <col min="6918" max="6918" width="12.28515625" style="136" customWidth="1"/>
    <col min="6919" max="6919" width="12" style="136" customWidth="1"/>
    <col min="6920" max="7165" width="8.7109375" style="136"/>
    <col min="7166" max="7166" width="101.28515625" style="136" customWidth="1"/>
    <col min="7167" max="7167" width="8.7109375" style="136"/>
    <col min="7168" max="7168" width="22" style="136" customWidth="1"/>
    <col min="7169" max="7169" width="24.85546875" style="136" customWidth="1"/>
    <col min="7170" max="7170" width="23.42578125" style="136" customWidth="1"/>
    <col min="7171" max="7171" width="23.7109375" style="136" customWidth="1"/>
    <col min="7172" max="7172" width="12.140625" style="136" customWidth="1"/>
    <col min="7173" max="7173" width="11.140625" style="136" customWidth="1"/>
    <col min="7174" max="7174" width="12.28515625" style="136" customWidth="1"/>
    <col min="7175" max="7175" width="12" style="136" customWidth="1"/>
    <col min="7176" max="7421" width="8.7109375" style="136"/>
    <col min="7422" max="7422" width="101.28515625" style="136" customWidth="1"/>
    <col min="7423" max="7423" width="8.7109375" style="136"/>
    <col min="7424" max="7424" width="22" style="136" customWidth="1"/>
    <col min="7425" max="7425" width="24.85546875" style="136" customWidth="1"/>
    <col min="7426" max="7426" width="23.42578125" style="136" customWidth="1"/>
    <col min="7427" max="7427" width="23.7109375" style="136" customWidth="1"/>
    <col min="7428" max="7428" width="12.140625" style="136" customWidth="1"/>
    <col min="7429" max="7429" width="11.140625" style="136" customWidth="1"/>
    <col min="7430" max="7430" width="12.28515625" style="136" customWidth="1"/>
    <col min="7431" max="7431" width="12" style="136" customWidth="1"/>
    <col min="7432" max="7677" width="8.7109375" style="136"/>
    <col min="7678" max="7678" width="101.28515625" style="136" customWidth="1"/>
    <col min="7679" max="7679" width="8.7109375" style="136"/>
    <col min="7680" max="7680" width="22" style="136" customWidth="1"/>
    <col min="7681" max="7681" width="24.85546875" style="136" customWidth="1"/>
    <col min="7682" max="7682" width="23.42578125" style="136" customWidth="1"/>
    <col min="7683" max="7683" width="23.7109375" style="136" customWidth="1"/>
    <col min="7684" max="7684" width="12.140625" style="136" customWidth="1"/>
    <col min="7685" max="7685" width="11.140625" style="136" customWidth="1"/>
    <col min="7686" max="7686" width="12.28515625" style="136" customWidth="1"/>
    <col min="7687" max="7687" width="12" style="136" customWidth="1"/>
    <col min="7688" max="7933" width="8.7109375" style="136"/>
    <col min="7934" max="7934" width="101.28515625" style="136" customWidth="1"/>
    <col min="7935" max="7935" width="8.7109375" style="136"/>
    <col min="7936" max="7936" width="22" style="136" customWidth="1"/>
    <col min="7937" max="7937" width="24.85546875" style="136" customWidth="1"/>
    <col min="7938" max="7938" width="23.42578125" style="136" customWidth="1"/>
    <col min="7939" max="7939" width="23.7109375" style="136" customWidth="1"/>
    <col min="7940" max="7940" width="12.140625" style="136" customWidth="1"/>
    <col min="7941" max="7941" width="11.140625" style="136" customWidth="1"/>
    <col min="7942" max="7942" width="12.28515625" style="136" customWidth="1"/>
    <col min="7943" max="7943" width="12" style="136" customWidth="1"/>
    <col min="7944" max="8189" width="8.7109375" style="136"/>
    <col min="8190" max="8190" width="101.28515625" style="136" customWidth="1"/>
    <col min="8191" max="8191" width="8.7109375" style="136"/>
    <col min="8192" max="8192" width="22" style="136" customWidth="1"/>
    <col min="8193" max="8193" width="24.85546875" style="136" customWidth="1"/>
    <col min="8194" max="8194" width="23.42578125" style="136" customWidth="1"/>
    <col min="8195" max="8195" width="23.7109375" style="136" customWidth="1"/>
    <col min="8196" max="8196" width="12.140625" style="136" customWidth="1"/>
    <col min="8197" max="8197" width="11.140625" style="136" customWidth="1"/>
    <col min="8198" max="8198" width="12.28515625" style="136" customWidth="1"/>
    <col min="8199" max="8199" width="12" style="136" customWidth="1"/>
    <col min="8200" max="8445" width="8.7109375" style="136"/>
    <col min="8446" max="8446" width="101.28515625" style="136" customWidth="1"/>
    <col min="8447" max="8447" width="8.7109375" style="136"/>
    <col min="8448" max="8448" width="22" style="136" customWidth="1"/>
    <col min="8449" max="8449" width="24.85546875" style="136" customWidth="1"/>
    <col min="8450" max="8450" width="23.42578125" style="136" customWidth="1"/>
    <col min="8451" max="8451" width="23.7109375" style="136" customWidth="1"/>
    <col min="8452" max="8452" width="12.140625" style="136" customWidth="1"/>
    <col min="8453" max="8453" width="11.140625" style="136" customWidth="1"/>
    <col min="8454" max="8454" width="12.28515625" style="136" customWidth="1"/>
    <col min="8455" max="8455" width="12" style="136" customWidth="1"/>
    <col min="8456" max="8701" width="8.7109375" style="136"/>
    <col min="8702" max="8702" width="101.28515625" style="136" customWidth="1"/>
    <col min="8703" max="8703" width="8.7109375" style="136"/>
    <col min="8704" max="8704" width="22" style="136" customWidth="1"/>
    <col min="8705" max="8705" width="24.85546875" style="136" customWidth="1"/>
    <col min="8706" max="8706" width="23.42578125" style="136" customWidth="1"/>
    <col min="8707" max="8707" width="23.7109375" style="136" customWidth="1"/>
    <col min="8708" max="8708" width="12.140625" style="136" customWidth="1"/>
    <col min="8709" max="8709" width="11.140625" style="136" customWidth="1"/>
    <col min="8710" max="8710" width="12.28515625" style="136" customWidth="1"/>
    <col min="8711" max="8711" width="12" style="136" customWidth="1"/>
    <col min="8712" max="8957" width="8.7109375" style="136"/>
    <col min="8958" max="8958" width="101.28515625" style="136" customWidth="1"/>
    <col min="8959" max="8959" width="8.7109375" style="136"/>
    <col min="8960" max="8960" width="22" style="136" customWidth="1"/>
    <col min="8961" max="8961" width="24.85546875" style="136" customWidth="1"/>
    <col min="8962" max="8962" width="23.42578125" style="136" customWidth="1"/>
    <col min="8963" max="8963" width="23.7109375" style="136" customWidth="1"/>
    <col min="8964" max="8964" width="12.140625" style="136" customWidth="1"/>
    <col min="8965" max="8965" width="11.140625" style="136" customWidth="1"/>
    <col min="8966" max="8966" width="12.28515625" style="136" customWidth="1"/>
    <col min="8967" max="8967" width="12" style="136" customWidth="1"/>
    <col min="8968" max="9213" width="8.7109375" style="136"/>
    <col min="9214" max="9214" width="101.28515625" style="136" customWidth="1"/>
    <col min="9215" max="9215" width="8.7109375" style="136"/>
    <col min="9216" max="9216" width="22" style="136" customWidth="1"/>
    <col min="9217" max="9217" width="24.85546875" style="136" customWidth="1"/>
    <col min="9218" max="9218" width="23.42578125" style="136" customWidth="1"/>
    <col min="9219" max="9219" width="23.7109375" style="136" customWidth="1"/>
    <col min="9220" max="9220" width="12.140625" style="136" customWidth="1"/>
    <col min="9221" max="9221" width="11.140625" style="136" customWidth="1"/>
    <col min="9222" max="9222" width="12.28515625" style="136" customWidth="1"/>
    <col min="9223" max="9223" width="12" style="136" customWidth="1"/>
    <col min="9224" max="9469" width="8.7109375" style="136"/>
    <col min="9470" max="9470" width="101.28515625" style="136" customWidth="1"/>
    <col min="9471" max="9471" width="8.7109375" style="136"/>
    <col min="9472" max="9472" width="22" style="136" customWidth="1"/>
    <col min="9473" max="9473" width="24.85546875" style="136" customWidth="1"/>
    <col min="9474" max="9474" width="23.42578125" style="136" customWidth="1"/>
    <col min="9475" max="9475" width="23.7109375" style="136" customWidth="1"/>
    <col min="9476" max="9476" width="12.140625" style="136" customWidth="1"/>
    <col min="9477" max="9477" width="11.140625" style="136" customWidth="1"/>
    <col min="9478" max="9478" width="12.28515625" style="136" customWidth="1"/>
    <col min="9479" max="9479" width="12" style="136" customWidth="1"/>
    <col min="9480" max="9725" width="8.7109375" style="136"/>
    <col min="9726" max="9726" width="101.28515625" style="136" customWidth="1"/>
    <col min="9727" max="9727" width="8.7109375" style="136"/>
    <col min="9728" max="9728" width="22" style="136" customWidth="1"/>
    <col min="9729" max="9729" width="24.85546875" style="136" customWidth="1"/>
    <col min="9730" max="9730" width="23.42578125" style="136" customWidth="1"/>
    <col min="9731" max="9731" width="23.7109375" style="136" customWidth="1"/>
    <col min="9732" max="9732" width="12.140625" style="136" customWidth="1"/>
    <col min="9733" max="9733" width="11.140625" style="136" customWidth="1"/>
    <col min="9734" max="9734" width="12.28515625" style="136" customWidth="1"/>
    <col min="9735" max="9735" width="12" style="136" customWidth="1"/>
    <col min="9736" max="9981" width="8.7109375" style="136"/>
    <col min="9982" max="9982" width="101.28515625" style="136" customWidth="1"/>
    <col min="9983" max="9983" width="8.7109375" style="136"/>
    <col min="9984" max="9984" width="22" style="136" customWidth="1"/>
    <col min="9985" max="9985" width="24.85546875" style="136" customWidth="1"/>
    <col min="9986" max="9986" width="23.42578125" style="136" customWidth="1"/>
    <col min="9987" max="9987" width="23.7109375" style="136" customWidth="1"/>
    <col min="9988" max="9988" width="12.140625" style="136" customWidth="1"/>
    <col min="9989" max="9989" width="11.140625" style="136" customWidth="1"/>
    <col min="9990" max="9990" width="12.28515625" style="136" customWidth="1"/>
    <col min="9991" max="9991" width="12" style="136" customWidth="1"/>
    <col min="9992" max="10237" width="8.7109375" style="136"/>
    <col min="10238" max="10238" width="101.28515625" style="136" customWidth="1"/>
    <col min="10239" max="10239" width="8.7109375" style="136"/>
    <col min="10240" max="10240" width="22" style="136" customWidth="1"/>
    <col min="10241" max="10241" width="24.85546875" style="136" customWidth="1"/>
    <col min="10242" max="10242" width="23.42578125" style="136" customWidth="1"/>
    <col min="10243" max="10243" width="23.7109375" style="136" customWidth="1"/>
    <col min="10244" max="10244" width="12.140625" style="136" customWidth="1"/>
    <col min="10245" max="10245" width="11.140625" style="136" customWidth="1"/>
    <col min="10246" max="10246" width="12.28515625" style="136" customWidth="1"/>
    <col min="10247" max="10247" width="12" style="136" customWidth="1"/>
    <col min="10248" max="10493" width="8.7109375" style="136"/>
    <col min="10494" max="10494" width="101.28515625" style="136" customWidth="1"/>
    <col min="10495" max="10495" width="8.7109375" style="136"/>
    <col min="10496" max="10496" width="22" style="136" customWidth="1"/>
    <col min="10497" max="10497" width="24.85546875" style="136" customWidth="1"/>
    <col min="10498" max="10498" width="23.42578125" style="136" customWidth="1"/>
    <col min="10499" max="10499" width="23.7109375" style="136" customWidth="1"/>
    <col min="10500" max="10500" width="12.140625" style="136" customWidth="1"/>
    <col min="10501" max="10501" width="11.140625" style="136" customWidth="1"/>
    <col min="10502" max="10502" width="12.28515625" style="136" customWidth="1"/>
    <col min="10503" max="10503" width="12" style="136" customWidth="1"/>
    <col min="10504" max="10749" width="8.7109375" style="136"/>
    <col min="10750" max="10750" width="101.28515625" style="136" customWidth="1"/>
    <col min="10751" max="10751" width="8.7109375" style="136"/>
    <col min="10752" max="10752" width="22" style="136" customWidth="1"/>
    <col min="10753" max="10753" width="24.85546875" style="136" customWidth="1"/>
    <col min="10754" max="10754" width="23.42578125" style="136" customWidth="1"/>
    <col min="10755" max="10755" width="23.7109375" style="136" customWidth="1"/>
    <col min="10756" max="10756" width="12.140625" style="136" customWidth="1"/>
    <col min="10757" max="10757" width="11.140625" style="136" customWidth="1"/>
    <col min="10758" max="10758" width="12.28515625" style="136" customWidth="1"/>
    <col min="10759" max="10759" width="12" style="136" customWidth="1"/>
    <col min="10760" max="11005" width="8.7109375" style="136"/>
    <col min="11006" max="11006" width="101.28515625" style="136" customWidth="1"/>
    <col min="11007" max="11007" width="8.7109375" style="136"/>
    <col min="11008" max="11008" width="22" style="136" customWidth="1"/>
    <col min="11009" max="11009" width="24.85546875" style="136" customWidth="1"/>
    <col min="11010" max="11010" width="23.42578125" style="136" customWidth="1"/>
    <col min="11011" max="11011" width="23.7109375" style="136" customWidth="1"/>
    <col min="11012" max="11012" width="12.140625" style="136" customWidth="1"/>
    <col min="11013" max="11013" width="11.140625" style="136" customWidth="1"/>
    <col min="11014" max="11014" width="12.28515625" style="136" customWidth="1"/>
    <col min="11015" max="11015" width="12" style="136" customWidth="1"/>
    <col min="11016" max="11261" width="8.7109375" style="136"/>
    <col min="11262" max="11262" width="101.28515625" style="136" customWidth="1"/>
    <col min="11263" max="11263" width="8.7109375" style="136"/>
    <col min="11264" max="11264" width="22" style="136" customWidth="1"/>
    <col min="11265" max="11265" width="24.85546875" style="136" customWidth="1"/>
    <col min="11266" max="11266" width="23.42578125" style="136" customWidth="1"/>
    <col min="11267" max="11267" width="23.7109375" style="136" customWidth="1"/>
    <col min="11268" max="11268" width="12.140625" style="136" customWidth="1"/>
    <col min="11269" max="11269" width="11.140625" style="136" customWidth="1"/>
    <col min="11270" max="11270" width="12.28515625" style="136" customWidth="1"/>
    <col min="11271" max="11271" width="12" style="136" customWidth="1"/>
    <col min="11272" max="11517" width="8.7109375" style="136"/>
    <col min="11518" max="11518" width="101.28515625" style="136" customWidth="1"/>
    <col min="11519" max="11519" width="8.7109375" style="136"/>
    <col min="11520" max="11520" width="22" style="136" customWidth="1"/>
    <col min="11521" max="11521" width="24.85546875" style="136" customWidth="1"/>
    <col min="11522" max="11522" width="23.42578125" style="136" customWidth="1"/>
    <col min="11523" max="11523" width="23.7109375" style="136" customWidth="1"/>
    <col min="11524" max="11524" width="12.140625" style="136" customWidth="1"/>
    <col min="11525" max="11525" width="11.140625" style="136" customWidth="1"/>
    <col min="11526" max="11526" width="12.28515625" style="136" customWidth="1"/>
    <col min="11527" max="11527" width="12" style="136" customWidth="1"/>
    <col min="11528" max="11773" width="8.7109375" style="136"/>
    <col min="11774" max="11774" width="101.28515625" style="136" customWidth="1"/>
    <col min="11775" max="11775" width="8.7109375" style="136"/>
    <col min="11776" max="11776" width="22" style="136" customWidth="1"/>
    <col min="11777" max="11777" width="24.85546875" style="136" customWidth="1"/>
    <col min="11778" max="11778" width="23.42578125" style="136" customWidth="1"/>
    <col min="11779" max="11779" width="23.7109375" style="136" customWidth="1"/>
    <col min="11780" max="11780" width="12.140625" style="136" customWidth="1"/>
    <col min="11781" max="11781" width="11.140625" style="136" customWidth="1"/>
    <col min="11782" max="11782" width="12.28515625" style="136" customWidth="1"/>
    <col min="11783" max="11783" width="12" style="136" customWidth="1"/>
    <col min="11784" max="12029" width="8.7109375" style="136"/>
    <col min="12030" max="12030" width="101.28515625" style="136" customWidth="1"/>
    <col min="12031" max="12031" width="8.7109375" style="136"/>
    <col min="12032" max="12032" width="22" style="136" customWidth="1"/>
    <col min="12033" max="12033" width="24.85546875" style="136" customWidth="1"/>
    <col min="12034" max="12034" width="23.42578125" style="136" customWidth="1"/>
    <col min="12035" max="12035" width="23.7109375" style="136" customWidth="1"/>
    <col min="12036" max="12036" width="12.140625" style="136" customWidth="1"/>
    <col min="12037" max="12037" width="11.140625" style="136" customWidth="1"/>
    <col min="12038" max="12038" width="12.28515625" style="136" customWidth="1"/>
    <col min="12039" max="12039" width="12" style="136" customWidth="1"/>
    <col min="12040" max="12285" width="8.7109375" style="136"/>
    <col min="12286" max="12286" width="101.28515625" style="136" customWidth="1"/>
    <col min="12287" max="12287" width="8.7109375" style="136"/>
    <col min="12288" max="12288" width="22" style="136" customWidth="1"/>
    <col min="12289" max="12289" width="24.85546875" style="136" customWidth="1"/>
    <col min="12290" max="12290" width="23.42578125" style="136" customWidth="1"/>
    <col min="12291" max="12291" width="23.7109375" style="136" customWidth="1"/>
    <col min="12292" max="12292" width="12.140625" style="136" customWidth="1"/>
    <col min="12293" max="12293" width="11.140625" style="136" customWidth="1"/>
    <col min="12294" max="12294" width="12.28515625" style="136" customWidth="1"/>
    <col min="12295" max="12295" width="12" style="136" customWidth="1"/>
    <col min="12296" max="12541" width="8.7109375" style="136"/>
    <col min="12542" max="12542" width="101.28515625" style="136" customWidth="1"/>
    <col min="12543" max="12543" width="8.7109375" style="136"/>
    <col min="12544" max="12544" width="22" style="136" customWidth="1"/>
    <col min="12545" max="12545" width="24.85546875" style="136" customWidth="1"/>
    <col min="12546" max="12546" width="23.42578125" style="136" customWidth="1"/>
    <col min="12547" max="12547" width="23.7109375" style="136" customWidth="1"/>
    <col min="12548" max="12548" width="12.140625" style="136" customWidth="1"/>
    <col min="12549" max="12549" width="11.140625" style="136" customWidth="1"/>
    <col min="12550" max="12550" width="12.28515625" style="136" customWidth="1"/>
    <col min="12551" max="12551" width="12" style="136" customWidth="1"/>
    <col min="12552" max="12797" width="8.7109375" style="136"/>
    <col min="12798" max="12798" width="101.28515625" style="136" customWidth="1"/>
    <col min="12799" max="12799" width="8.7109375" style="136"/>
    <col min="12800" max="12800" width="22" style="136" customWidth="1"/>
    <col min="12801" max="12801" width="24.85546875" style="136" customWidth="1"/>
    <col min="12802" max="12802" width="23.42578125" style="136" customWidth="1"/>
    <col min="12803" max="12803" width="23.7109375" style="136" customWidth="1"/>
    <col min="12804" max="12804" width="12.140625" style="136" customWidth="1"/>
    <col min="12805" max="12805" width="11.140625" style="136" customWidth="1"/>
    <col min="12806" max="12806" width="12.28515625" style="136" customWidth="1"/>
    <col min="12807" max="12807" width="12" style="136" customWidth="1"/>
    <col min="12808" max="13053" width="8.7109375" style="136"/>
    <col min="13054" max="13054" width="101.28515625" style="136" customWidth="1"/>
    <col min="13055" max="13055" width="8.7109375" style="136"/>
    <col min="13056" max="13056" width="22" style="136" customWidth="1"/>
    <col min="13057" max="13057" width="24.85546875" style="136" customWidth="1"/>
    <col min="13058" max="13058" width="23.42578125" style="136" customWidth="1"/>
    <col min="13059" max="13059" width="23.7109375" style="136" customWidth="1"/>
    <col min="13060" max="13060" width="12.140625" style="136" customWidth="1"/>
    <col min="13061" max="13061" width="11.140625" style="136" customWidth="1"/>
    <col min="13062" max="13062" width="12.28515625" style="136" customWidth="1"/>
    <col min="13063" max="13063" width="12" style="136" customWidth="1"/>
    <col min="13064" max="13309" width="8.7109375" style="136"/>
    <col min="13310" max="13310" width="101.28515625" style="136" customWidth="1"/>
    <col min="13311" max="13311" width="8.7109375" style="136"/>
    <col min="13312" max="13312" width="22" style="136" customWidth="1"/>
    <col min="13313" max="13313" width="24.85546875" style="136" customWidth="1"/>
    <col min="13314" max="13314" width="23.42578125" style="136" customWidth="1"/>
    <col min="13315" max="13315" width="23.7109375" style="136" customWidth="1"/>
    <col min="13316" max="13316" width="12.140625" style="136" customWidth="1"/>
    <col min="13317" max="13317" width="11.140625" style="136" customWidth="1"/>
    <col min="13318" max="13318" width="12.28515625" style="136" customWidth="1"/>
    <col min="13319" max="13319" width="12" style="136" customWidth="1"/>
    <col min="13320" max="13565" width="8.7109375" style="136"/>
    <col min="13566" max="13566" width="101.28515625" style="136" customWidth="1"/>
    <col min="13567" max="13567" width="8.7109375" style="136"/>
    <col min="13568" max="13568" width="22" style="136" customWidth="1"/>
    <col min="13569" max="13569" width="24.85546875" style="136" customWidth="1"/>
    <col min="13570" max="13570" width="23.42578125" style="136" customWidth="1"/>
    <col min="13571" max="13571" width="23.7109375" style="136" customWidth="1"/>
    <col min="13572" max="13572" width="12.140625" style="136" customWidth="1"/>
    <col min="13573" max="13573" width="11.140625" style="136" customWidth="1"/>
    <col min="13574" max="13574" width="12.28515625" style="136" customWidth="1"/>
    <col min="13575" max="13575" width="12" style="136" customWidth="1"/>
    <col min="13576" max="13821" width="8.7109375" style="136"/>
    <col min="13822" max="13822" width="101.28515625" style="136" customWidth="1"/>
    <col min="13823" max="13823" width="8.7109375" style="136"/>
    <col min="13824" max="13824" width="22" style="136" customWidth="1"/>
    <col min="13825" max="13825" width="24.85546875" style="136" customWidth="1"/>
    <col min="13826" max="13826" width="23.42578125" style="136" customWidth="1"/>
    <col min="13827" max="13827" width="23.7109375" style="136" customWidth="1"/>
    <col min="13828" max="13828" width="12.140625" style="136" customWidth="1"/>
    <col min="13829" max="13829" width="11.140625" style="136" customWidth="1"/>
    <col min="13830" max="13830" width="12.28515625" style="136" customWidth="1"/>
    <col min="13831" max="13831" width="12" style="136" customWidth="1"/>
    <col min="13832" max="14077" width="8.7109375" style="136"/>
    <col min="14078" max="14078" width="101.28515625" style="136" customWidth="1"/>
    <col min="14079" max="14079" width="8.7109375" style="136"/>
    <col min="14080" max="14080" width="22" style="136" customWidth="1"/>
    <col min="14081" max="14081" width="24.85546875" style="136" customWidth="1"/>
    <col min="14082" max="14082" width="23.42578125" style="136" customWidth="1"/>
    <col min="14083" max="14083" width="23.7109375" style="136" customWidth="1"/>
    <col min="14084" max="14084" width="12.140625" style="136" customWidth="1"/>
    <col min="14085" max="14085" width="11.140625" style="136" customWidth="1"/>
    <col min="14086" max="14086" width="12.28515625" style="136" customWidth="1"/>
    <col min="14087" max="14087" width="12" style="136" customWidth="1"/>
    <col min="14088" max="14333" width="8.7109375" style="136"/>
    <col min="14334" max="14334" width="101.28515625" style="136" customWidth="1"/>
    <col min="14335" max="14335" width="8.7109375" style="136"/>
    <col min="14336" max="14336" width="22" style="136" customWidth="1"/>
    <col min="14337" max="14337" width="24.85546875" style="136" customWidth="1"/>
    <col min="14338" max="14338" width="23.42578125" style="136" customWidth="1"/>
    <col min="14339" max="14339" width="23.7109375" style="136" customWidth="1"/>
    <col min="14340" max="14340" width="12.140625" style="136" customWidth="1"/>
    <col min="14341" max="14341" width="11.140625" style="136" customWidth="1"/>
    <col min="14342" max="14342" width="12.28515625" style="136" customWidth="1"/>
    <col min="14343" max="14343" width="12" style="136" customWidth="1"/>
    <col min="14344" max="14589" width="8.7109375" style="136"/>
    <col min="14590" max="14590" width="101.28515625" style="136" customWidth="1"/>
    <col min="14591" max="14591" width="8.7109375" style="136"/>
    <col min="14592" max="14592" width="22" style="136" customWidth="1"/>
    <col min="14593" max="14593" width="24.85546875" style="136" customWidth="1"/>
    <col min="14594" max="14594" width="23.42578125" style="136" customWidth="1"/>
    <col min="14595" max="14595" width="23.7109375" style="136" customWidth="1"/>
    <col min="14596" max="14596" width="12.140625" style="136" customWidth="1"/>
    <col min="14597" max="14597" width="11.140625" style="136" customWidth="1"/>
    <col min="14598" max="14598" width="12.28515625" style="136" customWidth="1"/>
    <col min="14599" max="14599" width="12" style="136" customWidth="1"/>
    <col min="14600" max="14845" width="8.7109375" style="136"/>
    <col min="14846" max="14846" width="101.28515625" style="136" customWidth="1"/>
    <col min="14847" max="14847" width="8.7109375" style="136"/>
    <col min="14848" max="14848" width="22" style="136" customWidth="1"/>
    <col min="14849" max="14849" width="24.85546875" style="136" customWidth="1"/>
    <col min="14850" max="14850" width="23.42578125" style="136" customWidth="1"/>
    <col min="14851" max="14851" width="23.7109375" style="136" customWidth="1"/>
    <col min="14852" max="14852" width="12.140625" style="136" customWidth="1"/>
    <col min="14853" max="14853" width="11.140625" style="136" customWidth="1"/>
    <col min="14854" max="14854" width="12.28515625" style="136" customWidth="1"/>
    <col min="14855" max="14855" width="12" style="136" customWidth="1"/>
    <col min="14856" max="15101" width="8.7109375" style="136"/>
    <col min="15102" max="15102" width="101.28515625" style="136" customWidth="1"/>
    <col min="15103" max="15103" width="8.7109375" style="136"/>
    <col min="15104" max="15104" width="22" style="136" customWidth="1"/>
    <col min="15105" max="15105" width="24.85546875" style="136" customWidth="1"/>
    <col min="15106" max="15106" width="23.42578125" style="136" customWidth="1"/>
    <col min="15107" max="15107" width="23.7109375" style="136" customWidth="1"/>
    <col min="15108" max="15108" width="12.140625" style="136" customWidth="1"/>
    <col min="15109" max="15109" width="11.140625" style="136" customWidth="1"/>
    <col min="15110" max="15110" width="12.28515625" style="136" customWidth="1"/>
    <col min="15111" max="15111" width="12" style="136" customWidth="1"/>
    <col min="15112" max="15357" width="8.7109375" style="136"/>
    <col min="15358" max="15358" width="101.28515625" style="136" customWidth="1"/>
    <col min="15359" max="15359" width="8.7109375" style="136"/>
    <col min="15360" max="15360" width="22" style="136" customWidth="1"/>
    <col min="15361" max="15361" width="24.85546875" style="136" customWidth="1"/>
    <col min="15362" max="15362" width="23.42578125" style="136" customWidth="1"/>
    <col min="15363" max="15363" width="23.7109375" style="136" customWidth="1"/>
    <col min="15364" max="15364" width="12.140625" style="136" customWidth="1"/>
    <col min="15365" max="15365" width="11.140625" style="136" customWidth="1"/>
    <col min="15366" max="15366" width="12.28515625" style="136" customWidth="1"/>
    <col min="15367" max="15367" width="12" style="136" customWidth="1"/>
    <col min="15368" max="15613" width="8.7109375" style="136"/>
    <col min="15614" max="15614" width="101.28515625" style="136" customWidth="1"/>
    <col min="15615" max="15615" width="8.7109375" style="136"/>
    <col min="15616" max="15616" width="22" style="136" customWidth="1"/>
    <col min="15617" max="15617" width="24.85546875" style="136" customWidth="1"/>
    <col min="15618" max="15618" width="23.42578125" style="136" customWidth="1"/>
    <col min="15619" max="15619" width="23.7109375" style="136" customWidth="1"/>
    <col min="15620" max="15620" width="12.140625" style="136" customWidth="1"/>
    <col min="15621" max="15621" width="11.140625" style="136" customWidth="1"/>
    <col min="15622" max="15622" width="12.28515625" style="136" customWidth="1"/>
    <col min="15623" max="15623" width="12" style="136" customWidth="1"/>
    <col min="15624" max="15869" width="8.7109375" style="136"/>
    <col min="15870" max="15870" width="101.28515625" style="136" customWidth="1"/>
    <col min="15871" max="15871" width="8.7109375" style="136"/>
    <col min="15872" max="15872" width="22" style="136" customWidth="1"/>
    <col min="15873" max="15873" width="24.85546875" style="136" customWidth="1"/>
    <col min="15874" max="15874" width="23.42578125" style="136" customWidth="1"/>
    <col min="15875" max="15875" width="23.7109375" style="136" customWidth="1"/>
    <col min="15876" max="15876" width="12.140625" style="136" customWidth="1"/>
    <col min="15877" max="15877" width="11.140625" style="136" customWidth="1"/>
    <col min="15878" max="15878" width="12.28515625" style="136" customWidth="1"/>
    <col min="15879" max="15879" width="12" style="136" customWidth="1"/>
    <col min="15880" max="16125" width="8.7109375" style="136"/>
    <col min="16126" max="16126" width="101.28515625" style="136" customWidth="1"/>
    <col min="16127" max="16127" width="8.7109375" style="136"/>
    <col min="16128" max="16128" width="22" style="136" customWidth="1"/>
    <col min="16129" max="16129" width="24.85546875" style="136" customWidth="1"/>
    <col min="16130" max="16130" width="23.42578125" style="136" customWidth="1"/>
    <col min="16131" max="16131" width="23.7109375" style="136" customWidth="1"/>
    <col min="16132" max="16132" width="12.140625" style="136" customWidth="1"/>
    <col min="16133" max="16133" width="11.140625" style="136" customWidth="1"/>
    <col min="16134" max="16134" width="12.28515625" style="136" customWidth="1"/>
    <col min="16135" max="16135" width="12" style="136" customWidth="1"/>
    <col min="16136" max="16384" width="8.7109375" style="136"/>
  </cols>
  <sheetData>
    <row r="1" spans="1:7" x14ac:dyDescent="0.25">
      <c r="A1" s="135" t="s">
        <v>791</v>
      </c>
      <c r="B1" s="678" t="str">
        <f>Tartalékok!B1</f>
        <v>melléklet a 4/2021.(III.08.) önkormányzati rendelethez</v>
      </c>
    </row>
    <row r="2" spans="1:7" ht="30" customHeight="1" x14ac:dyDescent="0.25">
      <c r="B2" s="794" t="str">
        <f>Tartalékok!B2</f>
        <v>Az önkormányzat 2022.évi költségvetése</v>
      </c>
      <c r="C2" s="796"/>
      <c r="D2" s="796"/>
      <c r="E2" s="796"/>
      <c r="F2" s="796"/>
      <c r="G2" s="796"/>
    </row>
    <row r="3" spans="1:7" ht="43.5" customHeight="1" x14ac:dyDescent="0.25">
      <c r="B3" s="795" t="s">
        <v>792</v>
      </c>
      <c r="C3" s="795"/>
      <c r="D3" s="795"/>
      <c r="E3" s="795"/>
      <c r="F3" s="795"/>
      <c r="G3" s="795"/>
    </row>
    <row r="5" spans="1:7" ht="26.25" hidden="1" x14ac:dyDescent="0.25">
      <c r="B5" s="195" t="s">
        <v>793</v>
      </c>
    </row>
    <row r="6" spans="1:7" ht="26.25" hidden="1" x14ac:dyDescent="0.25">
      <c r="B6" s="196" t="s">
        <v>794</v>
      </c>
    </row>
    <row r="7" spans="1:7" hidden="1" x14ac:dyDescent="0.25">
      <c r="B7" s="196" t="s">
        <v>795</v>
      </c>
    </row>
    <row r="8" spans="1:7" hidden="1" x14ac:dyDescent="0.25">
      <c r="B8" s="197" t="s">
        <v>796</v>
      </c>
    </row>
    <row r="10" spans="1:7" ht="15.75" x14ac:dyDescent="0.25">
      <c r="B10" s="198"/>
    </row>
    <row r="11" spans="1:7" x14ac:dyDescent="0.25">
      <c r="B11" s="175" t="s">
        <v>797</v>
      </c>
    </row>
    <row r="12" spans="1:7" ht="78.75" customHeight="1" x14ac:dyDescent="0.3">
      <c r="B12" s="167" t="s">
        <v>189</v>
      </c>
      <c r="C12" s="141" t="s">
        <v>190</v>
      </c>
      <c r="D12" s="169" t="s">
        <v>1233</v>
      </c>
      <c r="E12" s="169" t="s">
        <v>1232</v>
      </c>
      <c r="F12" s="169" t="s">
        <v>1234</v>
      </c>
      <c r="G12" s="169" t="s">
        <v>1235</v>
      </c>
    </row>
    <row r="13" spans="1:7" x14ac:dyDescent="0.25">
      <c r="B13" s="199" t="s">
        <v>521</v>
      </c>
      <c r="C13" s="152" t="s">
        <v>522</v>
      </c>
      <c r="D13" s="200"/>
      <c r="E13" s="200"/>
      <c r="F13" s="201"/>
      <c r="G13" s="201"/>
    </row>
    <row r="14" spans="1:7" x14ac:dyDescent="0.25">
      <c r="B14" s="176" t="s">
        <v>798</v>
      </c>
      <c r="C14" s="176" t="s">
        <v>522</v>
      </c>
      <c r="D14" s="200"/>
      <c r="E14" s="200"/>
      <c r="F14" s="200"/>
      <c r="G14" s="200"/>
    </row>
    <row r="15" spans="1:7" x14ac:dyDescent="0.25">
      <c r="B15" s="161" t="s">
        <v>523</v>
      </c>
      <c r="C15" s="152" t="s">
        <v>524</v>
      </c>
      <c r="D15" s="200"/>
      <c r="E15" s="200"/>
      <c r="F15" s="200"/>
      <c r="G15" s="200"/>
    </row>
    <row r="16" spans="1:7" x14ac:dyDescent="0.25">
      <c r="B16" s="199" t="s">
        <v>799</v>
      </c>
      <c r="C16" s="152" t="s">
        <v>526</v>
      </c>
      <c r="D16" s="200"/>
      <c r="E16" s="200"/>
      <c r="F16" s="200"/>
      <c r="G16" s="200"/>
    </row>
    <row r="17" spans="2:7" x14ac:dyDescent="0.25">
      <c r="B17" s="176" t="s">
        <v>798</v>
      </c>
      <c r="C17" s="176" t="s">
        <v>526</v>
      </c>
      <c r="D17" s="200"/>
      <c r="E17" s="200"/>
      <c r="F17" s="200"/>
      <c r="G17" s="200"/>
    </row>
    <row r="18" spans="2:7" x14ac:dyDescent="0.25">
      <c r="B18" s="155" t="s">
        <v>527</v>
      </c>
      <c r="C18" s="146" t="s">
        <v>528</v>
      </c>
      <c r="D18" s="200"/>
      <c r="E18" s="200"/>
      <c r="F18" s="200"/>
      <c r="G18" s="200"/>
    </row>
    <row r="19" spans="2:7" x14ac:dyDescent="0.25">
      <c r="B19" s="161" t="s">
        <v>800</v>
      </c>
      <c r="C19" s="152" t="s">
        <v>530</v>
      </c>
      <c r="D19" s="200"/>
      <c r="E19" s="200"/>
      <c r="F19" s="200"/>
      <c r="G19" s="200"/>
    </row>
    <row r="20" spans="2:7" x14ac:dyDescent="0.25">
      <c r="B20" s="176" t="s">
        <v>801</v>
      </c>
      <c r="C20" s="176" t="s">
        <v>530</v>
      </c>
      <c r="D20" s="200"/>
      <c r="E20" s="200"/>
      <c r="F20" s="200"/>
      <c r="G20" s="200"/>
    </row>
    <row r="21" spans="2:7" x14ac:dyDescent="0.25">
      <c r="B21" s="199" t="s">
        <v>531</v>
      </c>
      <c r="C21" s="152" t="s">
        <v>532</v>
      </c>
      <c r="D21" s="200"/>
      <c r="E21" s="200"/>
      <c r="F21" s="200"/>
      <c r="G21" s="200"/>
    </row>
    <row r="22" spans="2:7" x14ac:dyDescent="0.25">
      <c r="B22" s="143" t="s">
        <v>802</v>
      </c>
      <c r="C22" s="152" t="s">
        <v>534</v>
      </c>
      <c r="D22" s="145"/>
      <c r="E22" s="145"/>
      <c r="F22" s="145"/>
      <c r="G22" s="145"/>
    </row>
    <row r="23" spans="2:7" x14ac:dyDescent="0.25">
      <c r="B23" s="176" t="s">
        <v>803</v>
      </c>
      <c r="C23" s="176" t="s">
        <v>534</v>
      </c>
      <c r="D23" s="145"/>
      <c r="E23" s="145"/>
      <c r="F23" s="145"/>
      <c r="G23" s="145"/>
    </row>
    <row r="24" spans="2:7" x14ac:dyDescent="0.25">
      <c r="B24" s="199" t="s">
        <v>535</v>
      </c>
      <c r="C24" s="152" t="s">
        <v>536</v>
      </c>
      <c r="D24" s="145"/>
      <c r="E24" s="145"/>
      <c r="F24" s="145"/>
      <c r="G24" s="145"/>
    </row>
    <row r="25" spans="2:7" x14ac:dyDescent="0.25">
      <c r="B25" s="202" t="s">
        <v>537</v>
      </c>
      <c r="C25" s="146" t="s">
        <v>538</v>
      </c>
      <c r="D25" s="145"/>
      <c r="E25" s="145"/>
      <c r="F25" s="145"/>
      <c r="G25" s="145"/>
    </row>
    <row r="26" spans="2:7" x14ac:dyDescent="0.25">
      <c r="B26" s="161" t="s">
        <v>558</v>
      </c>
      <c r="C26" s="152" t="s">
        <v>559</v>
      </c>
      <c r="D26" s="145"/>
      <c r="E26" s="145"/>
      <c r="F26" s="145"/>
      <c r="G26" s="145"/>
    </row>
    <row r="27" spans="2:7" x14ac:dyDescent="0.25">
      <c r="B27" s="143" t="s">
        <v>560</v>
      </c>
      <c r="C27" s="152" t="s">
        <v>561</v>
      </c>
      <c r="D27" s="145"/>
      <c r="E27" s="145"/>
      <c r="F27" s="145"/>
      <c r="G27" s="145"/>
    </row>
    <row r="28" spans="2:7" x14ac:dyDescent="0.25">
      <c r="B28" s="199" t="s">
        <v>562</v>
      </c>
      <c r="C28" s="152" t="s">
        <v>563</v>
      </c>
      <c r="D28" s="145"/>
      <c r="E28" s="145"/>
      <c r="F28" s="145"/>
      <c r="G28" s="145"/>
    </row>
    <row r="29" spans="2:7" x14ac:dyDescent="0.25">
      <c r="B29" s="199" t="s">
        <v>564</v>
      </c>
      <c r="C29" s="152" t="s">
        <v>565</v>
      </c>
      <c r="D29" s="145"/>
      <c r="E29" s="145"/>
      <c r="F29" s="145"/>
      <c r="G29" s="145"/>
    </row>
    <row r="30" spans="2:7" x14ac:dyDescent="0.25">
      <c r="B30" s="176" t="s">
        <v>804</v>
      </c>
      <c r="C30" s="176" t="s">
        <v>565</v>
      </c>
      <c r="D30" s="145"/>
      <c r="E30" s="145"/>
      <c r="F30" s="145"/>
      <c r="G30" s="145"/>
    </row>
    <row r="31" spans="2:7" x14ac:dyDescent="0.25">
      <c r="B31" s="176" t="s">
        <v>805</v>
      </c>
      <c r="C31" s="176" t="s">
        <v>565</v>
      </c>
      <c r="D31" s="145"/>
      <c r="E31" s="145"/>
      <c r="F31" s="145"/>
      <c r="G31" s="145"/>
    </row>
    <row r="32" spans="2:7" x14ac:dyDescent="0.25">
      <c r="B32" s="203" t="s">
        <v>806</v>
      </c>
      <c r="C32" s="203" t="s">
        <v>565</v>
      </c>
      <c r="D32" s="145"/>
      <c r="E32" s="145"/>
      <c r="F32" s="145"/>
      <c r="G32" s="145"/>
    </row>
    <row r="33" spans="2:7" x14ac:dyDescent="0.25">
      <c r="B33" s="204" t="s">
        <v>566</v>
      </c>
      <c r="C33" s="205" t="s">
        <v>567</v>
      </c>
      <c r="D33" s="145"/>
      <c r="E33" s="145"/>
      <c r="F33" s="145"/>
      <c r="G33" s="145"/>
    </row>
    <row r="34" spans="2:7" x14ac:dyDescent="0.25">
      <c r="B34" s="206"/>
      <c r="C34" s="207"/>
    </row>
    <row r="35" spans="2:7" x14ac:dyDescent="0.25">
      <c r="B35" s="206"/>
      <c r="C35" s="207"/>
    </row>
    <row r="36" spans="2:7" x14ac:dyDescent="0.25">
      <c r="B36" s="206"/>
      <c r="C36" s="207"/>
    </row>
    <row r="37" spans="2:7" ht="25.5" x14ac:dyDescent="0.3">
      <c r="B37" s="167" t="s">
        <v>189</v>
      </c>
      <c r="C37" s="141" t="s">
        <v>190</v>
      </c>
      <c r="D37" s="169" t="s">
        <v>1411</v>
      </c>
      <c r="E37" s="169" t="s">
        <v>1236</v>
      </c>
      <c r="F37" s="169" t="s">
        <v>1237</v>
      </c>
      <c r="G37" s="169" t="s">
        <v>1412</v>
      </c>
    </row>
    <row r="38" spans="2:7" ht="15.75" x14ac:dyDescent="0.25">
      <c r="B38" s="208" t="s">
        <v>807</v>
      </c>
      <c r="C38" s="205"/>
      <c r="D38" s="145"/>
      <c r="E38" s="145"/>
      <c r="F38" s="145"/>
      <c r="G38" s="145"/>
    </row>
    <row r="39" spans="2:7" ht="15.75" x14ac:dyDescent="0.25">
      <c r="B39" s="209" t="s">
        <v>808</v>
      </c>
      <c r="C39" s="205"/>
      <c r="D39" s="149">
        <f>'Helyi adók'!D10+'Helyi adók'!D11+'Helyi adók'!D14+'Helyi adók'!D19</f>
        <v>94900000</v>
      </c>
      <c r="E39" s="149">
        <f>D39</f>
        <v>94900000</v>
      </c>
      <c r="F39" s="149">
        <f>D39</f>
        <v>94900000</v>
      </c>
      <c r="G39" s="149">
        <f>D39</f>
        <v>94900000</v>
      </c>
    </row>
    <row r="40" spans="2:7" ht="31.5" x14ac:dyDescent="0.25">
      <c r="B40" s="209" t="s">
        <v>809</v>
      </c>
      <c r="C40" s="205"/>
      <c r="D40" s="145"/>
      <c r="E40" s="149">
        <f t="shared" ref="E40:E43" si="0">D40</f>
        <v>0</v>
      </c>
      <c r="F40" s="149">
        <f t="shared" ref="F40:F43" si="1">D40</f>
        <v>0</v>
      </c>
      <c r="G40" s="149">
        <f t="shared" ref="G40:G43" si="2">D40</f>
        <v>0</v>
      </c>
    </row>
    <row r="41" spans="2:7" ht="15.75" x14ac:dyDescent="0.25">
      <c r="B41" s="209" t="s">
        <v>810</v>
      </c>
      <c r="C41" s="205"/>
      <c r="D41" s="145">
        <f>SUM('ÖNK bevétel cofogra'!E220)</f>
        <v>15000000</v>
      </c>
      <c r="E41" s="149">
        <f t="shared" si="0"/>
        <v>15000000</v>
      </c>
      <c r="F41" s="149">
        <f t="shared" si="1"/>
        <v>15000000</v>
      </c>
      <c r="G41" s="149">
        <f t="shared" si="2"/>
        <v>15000000</v>
      </c>
    </row>
    <row r="42" spans="2:7" ht="31.5" x14ac:dyDescent="0.25">
      <c r="B42" s="209" t="s">
        <v>811</v>
      </c>
      <c r="C42" s="205"/>
      <c r="D42" s="145"/>
      <c r="E42" s="149">
        <f t="shared" si="0"/>
        <v>0</v>
      </c>
      <c r="F42" s="149">
        <f t="shared" si="1"/>
        <v>0</v>
      </c>
      <c r="G42" s="149">
        <f t="shared" si="2"/>
        <v>0</v>
      </c>
    </row>
    <row r="43" spans="2:7" ht="15.75" x14ac:dyDescent="0.25">
      <c r="B43" s="209" t="s">
        <v>812</v>
      </c>
      <c r="C43" s="205"/>
      <c r="D43" s="149">
        <f>'Helyi adók'!D32</f>
        <v>1400000</v>
      </c>
      <c r="E43" s="149">
        <f t="shared" si="0"/>
        <v>1400000</v>
      </c>
      <c r="F43" s="149">
        <f t="shared" si="1"/>
        <v>1400000</v>
      </c>
      <c r="G43" s="149">
        <f t="shared" si="2"/>
        <v>1400000</v>
      </c>
    </row>
    <row r="44" spans="2:7" ht="15.75" x14ac:dyDescent="0.25">
      <c r="B44" s="209" t="s">
        <v>813</v>
      </c>
      <c r="C44" s="205"/>
      <c r="D44" s="145"/>
      <c r="E44" s="145"/>
      <c r="F44" s="145"/>
      <c r="G44" s="145"/>
    </row>
    <row r="45" spans="2:7" x14ac:dyDescent="0.25">
      <c r="B45" s="204" t="s">
        <v>790</v>
      </c>
      <c r="C45" s="205"/>
      <c r="D45" s="151">
        <f>SUM(D38:D44)</f>
        <v>111300000</v>
      </c>
      <c r="E45" s="151">
        <f t="shared" ref="E45:G45" si="3">SUM(E38:E44)</f>
        <v>111300000</v>
      </c>
      <c r="F45" s="151">
        <f t="shared" si="3"/>
        <v>111300000</v>
      </c>
      <c r="G45" s="151">
        <f t="shared" si="3"/>
        <v>111300000</v>
      </c>
    </row>
    <row r="47" spans="2:7" x14ac:dyDescent="0.25">
      <c r="D47" s="380"/>
    </row>
  </sheetData>
  <mergeCells count="2">
    <mergeCell ref="B2:G2"/>
    <mergeCell ref="B3:G3"/>
  </mergeCells>
  <hyperlinks>
    <hyperlink ref="B25" r:id="rId1" location="foot4" display="http://njt.hu/cgi_bin/njt_doc.cgi?docid=142896.245143 - foot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7" sqref="F17"/>
    </sheetView>
  </sheetViews>
  <sheetFormatPr defaultRowHeight="15" x14ac:dyDescent="0.25"/>
  <cols>
    <col min="2" max="2" width="44.140625" customWidth="1"/>
    <col min="3" max="3" width="17" customWidth="1"/>
    <col min="4" max="4" width="5.7109375" customWidth="1"/>
  </cols>
  <sheetData>
    <row r="1" spans="1:4" x14ac:dyDescent="0.25">
      <c r="A1" s="799"/>
      <c r="B1" s="799"/>
      <c r="C1" s="799"/>
      <c r="D1" s="799"/>
    </row>
    <row r="2" spans="1:4" x14ac:dyDescent="0.25">
      <c r="A2" s="799"/>
      <c r="B2" s="799"/>
      <c r="C2" s="799"/>
      <c r="D2" s="799"/>
    </row>
    <row r="4" spans="1:4" ht="15.75" thickBot="1" x14ac:dyDescent="0.3"/>
    <row r="5" spans="1:4" ht="23.45" customHeight="1" thickBot="1" x14ac:dyDescent="0.3">
      <c r="B5" s="243" t="s">
        <v>819</v>
      </c>
      <c r="C5" s="244">
        <f>SUM(C6:C10)</f>
        <v>84764405.599999994</v>
      </c>
      <c r="D5" s="245" t="s">
        <v>3</v>
      </c>
    </row>
    <row r="6" spans="1:4" ht="21" customHeight="1" thickBot="1" x14ac:dyDescent="0.3">
      <c r="B6" s="240" t="s">
        <v>826</v>
      </c>
      <c r="C6" s="241"/>
      <c r="D6" s="239"/>
    </row>
    <row r="7" spans="1:4" ht="21" customHeight="1" thickBot="1" x14ac:dyDescent="0.3">
      <c r="B7" s="240" t="s">
        <v>820</v>
      </c>
      <c r="C7" s="241">
        <f>SUM('Bevételek KÖH'!D83)</f>
        <v>5239180</v>
      </c>
      <c r="D7" s="239" t="s">
        <v>3</v>
      </c>
    </row>
    <row r="8" spans="1:4" ht="21" customHeight="1" thickBot="1" x14ac:dyDescent="0.3">
      <c r="B8" s="240" t="s">
        <v>1265</v>
      </c>
      <c r="C8" s="241">
        <f>SUM('KÖH bevétel'!E7)</f>
        <v>50000</v>
      </c>
      <c r="D8" s="377" t="s">
        <v>3</v>
      </c>
    </row>
    <row r="9" spans="1:4" ht="21" customHeight="1" thickBot="1" x14ac:dyDescent="0.3">
      <c r="B9" s="240" t="s">
        <v>1266</v>
      </c>
      <c r="C9" s="241">
        <f>'Bevételek KÖH'!D86</f>
        <v>79475225.599999994</v>
      </c>
      <c r="D9" s="239" t="s">
        <v>3</v>
      </c>
    </row>
    <row r="10" spans="1:4" ht="21" customHeight="1" thickBot="1" x14ac:dyDescent="0.3">
      <c r="B10" s="240" t="s">
        <v>1267</v>
      </c>
      <c r="C10" s="241">
        <f>'Bevételek KÖH'!D18</f>
        <v>0</v>
      </c>
      <c r="D10" s="239" t="s">
        <v>3</v>
      </c>
    </row>
    <row r="11" spans="1:4" ht="15.75" thickBot="1" x14ac:dyDescent="0.3">
      <c r="B11" s="242"/>
      <c r="C11" s="242"/>
      <c r="D11" s="242"/>
    </row>
    <row r="12" spans="1:4" ht="23.45" customHeight="1" thickBot="1" x14ac:dyDescent="0.3">
      <c r="B12" s="243" t="s">
        <v>821</v>
      </c>
      <c r="C12" s="244">
        <f>SUM(C13:C17)</f>
        <v>84764405.599999994</v>
      </c>
      <c r="D12" s="245" t="s">
        <v>3</v>
      </c>
    </row>
    <row r="13" spans="1:4" ht="21" customHeight="1" thickBot="1" x14ac:dyDescent="0.3">
      <c r="B13" s="240" t="s">
        <v>827</v>
      </c>
      <c r="C13" s="241"/>
      <c r="D13" s="239"/>
    </row>
    <row r="14" spans="1:4" ht="21" customHeight="1" thickBot="1" x14ac:dyDescent="0.3">
      <c r="B14" s="240" t="s">
        <v>822</v>
      </c>
      <c r="C14" s="241">
        <f>'Kiadások KÖH'!D25</f>
        <v>66166620</v>
      </c>
      <c r="D14" s="239" t="s">
        <v>3</v>
      </c>
    </row>
    <row r="15" spans="1:4" ht="21" customHeight="1" thickBot="1" x14ac:dyDescent="0.3">
      <c r="B15" s="240" t="s">
        <v>823</v>
      </c>
      <c r="C15" s="241">
        <f>'Kiadások KÖH'!D26</f>
        <v>8470785.5999999996</v>
      </c>
      <c r="D15" s="239" t="s">
        <v>3</v>
      </c>
    </row>
    <row r="16" spans="1:4" ht="21" customHeight="1" thickBot="1" x14ac:dyDescent="0.3">
      <c r="B16" s="240" t="s">
        <v>824</v>
      </c>
      <c r="C16" s="241">
        <f>'Kiadások KÖH'!D51</f>
        <v>10127000</v>
      </c>
      <c r="D16" s="239" t="s">
        <v>3</v>
      </c>
    </row>
    <row r="17" spans="2:4" ht="21" customHeight="1" thickBot="1" x14ac:dyDescent="0.3">
      <c r="B17" s="240" t="s">
        <v>825</v>
      </c>
      <c r="C17" s="241">
        <f>SUM('KÖH kiadás'!F451)</f>
        <v>0</v>
      </c>
      <c r="D17" s="239" t="s">
        <v>3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6"/>
  <sheetViews>
    <sheetView topLeftCell="A59" zoomScaleNormal="100" workbookViewId="0">
      <selection activeCell="A46" sqref="A46:XFD49"/>
    </sheetView>
  </sheetViews>
  <sheetFormatPr defaultRowHeight="15" x14ac:dyDescent="0.25"/>
  <cols>
    <col min="1" max="1" width="9.7109375" customWidth="1"/>
    <col min="2" max="2" width="11.140625" customWidth="1"/>
    <col min="3" max="3" width="10.5703125" customWidth="1"/>
    <col min="4" max="5" width="11.140625" customWidth="1"/>
    <col min="6" max="6" width="11" customWidth="1"/>
    <col min="7" max="7" width="13.5703125" customWidth="1"/>
    <col min="8" max="8" width="15.140625" customWidth="1"/>
    <col min="9" max="9" width="12.5703125" customWidth="1"/>
    <col min="11" max="11" width="14.28515625" customWidth="1"/>
    <col min="12" max="12" width="10.140625" bestFit="1" customWidth="1"/>
    <col min="14" max="14" width="9.28515625" customWidth="1"/>
    <col min="15" max="15" width="8.5703125" customWidth="1"/>
  </cols>
  <sheetData>
    <row r="1" spans="1:15" x14ac:dyDescent="0.25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ht="15.6" customHeight="1" x14ac:dyDescent="0.25">
      <c r="A2" s="712" t="s">
        <v>1287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393"/>
      <c r="N2" s="393"/>
      <c r="O2" s="393"/>
    </row>
    <row r="3" spans="1:15" x14ac:dyDescent="0.25">
      <c r="A3" s="394"/>
      <c r="B3" s="394"/>
      <c r="C3" s="395"/>
      <c r="D3" s="395"/>
      <c r="E3" s="394"/>
      <c r="F3" s="394"/>
      <c r="G3" s="394"/>
      <c r="H3" s="394"/>
      <c r="I3" s="394"/>
      <c r="J3" s="393"/>
      <c r="K3" s="393"/>
      <c r="L3" s="393"/>
      <c r="M3" s="393"/>
      <c r="N3" s="393"/>
      <c r="O3" s="393"/>
    </row>
    <row r="4" spans="1:15" ht="22.5" customHeight="1" x14ac:dyDescent="0.25">
      <c r="A4" s="394"/>
      <c r="B4" s="394"/>
      <c r="C4" s="395"/>
      <c r="D4" s="395" t="s">
        <v>1131</v>
      </c>
      <c r="E4" s="396" t="s">
        <v>1132</v>
      </c>
      <c r="F4" s="394"/>
      <c r="G4" s="394" t="s">
        <v>1305</v>
      </c>
      <c r="H4" s="394"/>
      <c r="I4" s="394"/>
      <c r="J4" s="393"/>
      <c r="K4" s="393"/>
      <c r="L4" s="393"/>
      <c r="M4" s="393"/>
      <c r="N4" s="393"/>
      <c r="O4" s="393"/>
    </row>
    <row r="5" spans="1:15" x14ac:dyDescent="0.25">
      <c r="A5" s="394" t="s">
        <v>1133</v>
      </c>
      <c r="B5" s="397">
        <f>E37</f>
        <v>11.43</v>
      </c>
      <c r="C5" s="395" t="s">
        <v>1134</v>
      </c>
      <c r="D5" s="395"/>
      <c r="E5" s="398">
        <f>SUM(B6/B5)</f>
        <v>5541844.2694663173</v>
      </c>
      <c r="F5" s="394"/>
      <c r="G5" s="395">
        <v>453520</v>
      </c>
      <c r="H5" s="394"/>
      <c r="I5" s="394"/>
      <c r="J5" s="393"/>
      <c r="K5" s="393"/>
      <c r="L5" s="393"/>
      <c r="M5" s="393"/>
      <c r="N5" s="393"/>
      <c r="O5" s="393"/>
    </row>
    <row r="6" spans="1:15" x14ac:dyDescent="0.25">
      <c r="A6" s="398" t="s">
        <v>1135</v>
      </c>
      <c r="B6" s="398">
        <f>SUM('ÖNK bevétel cofogra'!D57)</f>
        <v>63343280</v>
      </c>
      <c r="C6" s="398" t="s">
        <v>3</v>
      </c>
      <c r="D6" s="394"/>
      <c r="E6" s="394"/>
      <c r="F6" s="398"/>
      <c r="G6" s="394"/>
      <c r="H6" s="394"/>
      <c r="I6" s="394"/>
      <c r="J6" s="393"/>
      <c r="K6" s="393"/>
      <c r="L6" s="393"/>
      <c r="M6" s="393"/>
      <c r="N6" s="393"/>
      <c r="O6" s="393"/>
    </row>
    <row r="7" spans="1:15" x14ac:dyDescent="0.25">
      <c r="A7" s="394"/>
      <c r="B7" s="395"/>
      <c r="C7" s="394"/>
      <c r="D7" s="394"/>
      <c r="E7" s="396"/>
      <c r="F7" s="396"/>
      <c r="G7" s="394"/>
      <c r="H7" s="394"/>
      <c r="I7" s="394"/>
      <c r="J7" s="393"/>
      <c r="K7" s="393"/>
      <c r="L7" s="393"/>
      <c r="M7" s="393"/>
      <c r="N7" s="393"/>
      <c r="O7" s="393"/>
    </row>
    <row r="8" spans="1:15" x14ac:dyDescent="0.25">
      <c r="A8" s="394"/>
      <c r="B8" s="394"/>
      <c r="C8" s="394"/>
      <c r="D8" s="394"/>
      <c r="E8" s="394"/>
      <c r="F8" s="394"/>
      <c r="G8" s="394"/>
      <c r="H8" s="394"/>
      <c r="I8" s="394"/>
      <c r="J8" s="393"/>
      <c r="K8" s="393"/>
      <c r="L8" s="393"/>
      <c r="M8" s="393"/>
      <c r="N8" s="393"/>
      <c r="O8" s="393"/>
    </row>
    <row r="9" spans="1:15" x14ac:dyDescent="0.25">
      <c r="A9" s="399" t="s">
        <v>1346</v>
      </c>
      <c r="B9" s="394"/>
      <c r="C9" s="394"/>
      <c r="D9" s="394"/>
      <c r="E9" s="394"/>
      <c r="F9" s="394"/>
      <c r="G9" s="394"/>
      <c r="H9" s="394"/>
      <c r="I9" s="394"/>
      <c r="J9" s="393"/>
      <c r="K9" s="393"/>
      <c r="L9" s="393"/>
      <c r="M9" s="393"/>
      <c r="N9" s="393"/>
      <c r="O9" s="393"/>
    </row>
    <row r="10" spans="1:15" x14ac:dyDescent="0.25">
      <c r="A10" s="394"/>
      <c r="B10" s="394"/>
      <c r="C10" s="394"/>
      <c r="D10" s="394"/>
      <c r="E10" s="394"/>
      <c r="F10" s="394"/>
      <c r="G10" s="394"/>
      <c r="H10" s="394"/>
      <c r="I10" s="394"/>
      <c r="J10" s="393"/>
      <c r="K10" s="393"/>
      <c r="L10" s="393"/>
      <c r="M10" s="393"/>
      <c r="N10" s="393"/>
      <c r="O10" s="393"/>
    </row>
    <row r="11" spans="1:15" x14ac:dyDescent="0.25">
      <c r="A11" s="396" t="s">
        <v>830</v>
      </c>
      <c r="B11" s="396" t="s">
        <v>0</v>
      </c>
      <c r="C11" s="396" t="s">
        <v>1</v>
      </c>
      <c r="D11" s="396" t="s">
        <v>1136</v>
      </c>
      <c r="E11" s="400" t="s">
        <v>2</v>
      </c>
      <c r="F11" s="394"/>
      <c r="G11" s="394"/>
      <c r="H11" s="394"/>
      <c r="I11" s="394"/>
      <c r="J11" s="393"/>
      <c r="K11" s="393"/>
      <c r="L11" s="393"/>
      <c r="M11" s="393"/>
      <c r="N11" s="393"/>
      <c r="O11" s="393"/>
    </row>
    <row r="12" spans="1:15" x14ac:dyDescent="0.25">
      <c r="A12" s="401">
        <v>1378</v>
      </c>
      <c r="B12" s="401">
        <v>845</v>
      </c>
      <c r="C12" s="401">
        <v>532</v>
      </c>
      <c r="D12" s="401">
        <v>982</v>
      </c>
      <c r="E12" s="398">
        <f>SUM(A12:D12)</f>
        <v>3737</v>
      </c>
      <c r="F12" s="394"/>
      <c r="G12" s="394"/>
      <c r="H12" s="394"/>
      <c r="I12" s="394"/>
      <c r="J12" s="393"/>
      <c r="K12" s="393"/>
      <c r="L12" s="393"/>
      <c r="M12" s="393"/>
      <c r="N12" s="393"/>
      <c r="O12" s="393"/>
    </row>
    <row r="13" spans="1:15" x14ac:dyDescent="0.25">
      <c r="A13" s="402">
        <f>SUM(A12/E12)</f>
        <v>0.36874498260636873</v>
      </c>
      <c r="B13" s="402">
        <f>SUM(B12/E12)</f>
        <v>0.22611720631522611</v>
      </c>
      <c r="C13" s="402">
        <f>SUM(C12/E12)</f>
        <v>0.14236018196414235</v>
      </c>
      <c r="D13" s="402">
        <f>SUM(D12/E12)</f>
        <v>0.26277762911426278</v>
      </c>
      <c r="E13" s="402">
        <f>SUM(A13:D13)</f>
        <v>1</v>
      </c>
      <c r="F13" s="403"/>
      <c r="G13" s="403"/>
      <c r="H13" s="403"/>
      <c r="I13" s="403"/>
      <c r="J13" s="393"/>
      <c r="K13" s="393"/>
      <c r="L13" s="393"/>
      <c r="M13" s="393"/>
      <c r="N13" s="393"/>
      <c r="O13" s="393"/>
    </row>
    <row r="14" spans="1:15" x14ac:dyDescent="0.25">
      <c r="A14" s="394"/>
      <c r="B14" s="394"/>
      <c r="C14" s="394"/>
      <c r="D14" s="394"/>
      <c r="E14" s="394"/>
      <c r="F14" s="394"/>
      <c r="G14" s="394"/>
      <c r="H14" s="394"/>
      <c r="I14" s="394"/>
      <c r="J14" s="393"/>
      <c r="K14" s="393"/>
      <c r="L14" s="393"/>
      <c r="M14" s="393"/>
      <c r="N14" s="393"/>
      <c r="O14" s="393"/>
    </row>
    <row r="15" spans="1:15" x14ac:dyDescent="0.25">
      <c r="A15" s="400" t="s">
        <v>1137</v>
      </c>
      <c r="B15" s="394" t="s">
        <v>1138</v>
      </c>
      <c r="C15" s="394"/>
      <c r="D15" s="394"/>
      <c r="E15" s="394"/>
      <c r="F15" s="404"/>
      <c r="G15" s="394"/>
      <c r="H15" s="394"/>
      <c r="I15" s="394"/>
      <c r="J15" s="393"/>
      <c r="K15" s="393"/>
      <c r="L15" s="393"/>
      <c r="M15" s="393"/>
      <c r="N15" s="393"/>
      <c r="O15" s="393"/>
    </row>
    <row r="16" spans="1:15" x14ac:dyDescent="0.25">
      <c r="A16" s="400" t="s">
        <v>1139</v>
      </c>
      <c r="B16" s="394" t="s">
        <v>1140</v>
      </c>
      <c r="C16" s="394"/>
      <c r="D16" s="394"/>
      <c r="E16" s="394"/>
      <c r="F16" s="405">
        <f>A12+B12+C12+D12</f>
        <v>3737</v>
      </c>
      <c r="G16" s="394"/>
      <c r="H16" s="394"/>
      <c r="I16" s="394"/>
      <c r="J16" s="393"/>
      <c r="K16" s="393"/>
      <c r="L16" s="393"/>
      <c r="M16" s="393"/>
      <c r="N16" s="393"/>
      <c r="O16" s="393"/>
    </row>
    <row r="17" spans="1:15" x14ac:dyDescent="0.25">
      <c r="A17" s="400" t="s">
        <v>1141</v>
      </c>
      <c r="B17" s="394" t="s">
        <v>1142</v>
      </c>
      <c r="C17" s="394"/>
      <c r="D17" s="394"/>
      <c r="E17" s="394"/>
      <c r="F17" s="405">
        <v>3001</v>
      </c>
      <c r="G17" s="394"/>
      <c r="H17" s="394"/>
      <c r="I17" s="394"/>
      <c r="J17" s="393"/>
      <c r="K17" s="393"/>
      <c r="L17" s="393"/>
      <c r="M17" s="393"/>
      <c r="N17" s="393"/>
      <c r="O17" s="393"/>
    </row>
    <row r="18" spans="1:15" x14ac:dyDescent="0.25">
      <c r="A18" s="400" t="s">
        <v>1143</v>
      </c>
      <c r="B18" s="394" t="s">
        <v>1144</v>
      </c>
      <c r="C18" s="394"/>
      <c r="D18" s="394"/>
      <c r="E18" s="394"/>
      <c r="F18" s="405">
        <v>5000</v>
      </c>
      <c r="G18" s="394"/>
      <c r="H18" s="394"/>
      <c r="I18" s="394"/>
      <c r="J18" s="393"/>
      <c r="K18" s="393"/>
      <c r="L18" s="393"/>
      <c r="M18" s="393"/>
      <c r="N18" s="393"/>
      <c r="O18" s="393"/>
    </row>
    <row r="19" spans="1:15" x14ac:dyDescent="0.25">
      <c r="A19" s="400" t="s">
        <v>1145</v>
      </c>
      <c r="B19" s="394" t="s">
        <v>1146</v>
      </c>
      <c r="C19" s="394"/>
      <c r="D19" s="394"/>
      <c r="E19" s="394"/>
      <c r="F19" s="405">
        <v>8</v>
      </c>
      <c r="G19" s="394"/>
      <c r="H19" s="394"/>
      <c r="I19" s="394"/>
      <c r="J19" s="393"/>
      <c r="K19" s="393"/>
      <c r="L19" s="393"/>
      <c r="M19" s="393"/>
      <c r="N19" s="393"/>
      <c r="O19" s="393"/>
    </row>
    <row r="20" spans="1:15" x14ac:dyDescent="0.25">
      <c r="A20" s="400" t="s">
        <v>1147</v>
      </c>
      <c r="B20" s="394" t="s">
        <v>1148</v>
      </c>
      <c r="C20" s="394"/>
      <c r="D20" s="394"/>
      <c r="E20" s="394"/>
      <c r="F20" s="405">
        <v>14</v>
      </c>
      <c r="G20" s="394"/>
      <c r="H20" s="394"/>
      <c r="I20" s="394"/>
      <c r="J20" s="393"/>
      <c r="K20" s="393"/>
      <c r="L20" s="393"/>
      <c r="M20" s="393"/>
      <c r="N20" s="393"/>
      <c r="O20" s="393"/>
    </row>
    <row r="21" spans="1:15" x14ac:dyDescent="0.25">
      <c r="A21" s="406"/>
      <c r="B21" s="394"/>
      <c r="C21" s="394"/>
      <c r="D21" s="394"/>
      <c r="E21" s="394"/>
      <c r="F21" s="404"/>
      <c r="G21" s="394"/>
      <c r="H21" s="394"/>
      <c r="I21" s="394"/>
      <c r="J21" s="393"/>
      <c r="K21" s="393"/>
      <c r="L21" s="393"/>
      <c r="M21" s="393"/>
      <c r="N21" s="393"/>
      <c r="O21" s="393"/>
    </row>
    <row r="22" spans="1:15" x14ac:dyDescent="0.25">
      <c r="A22" s="406"/>
      <c r="B22" s="406" t="s">
        <v>1137</v>
      </c>
      <c r="C22" s="400" t="s">
        <v>1149</v>
      </c>
      <c r="D22" s="400"/>
      <c r="E22" s="406" t="s">
        <v>1150</v>
      </c>
      <c r="F22" s="404"/>
      <c r="G22" s="394"/>
      <c r="H22" s="394"/>
      <c r="I22" s="394"/>
      <c r="J22" s="393"/>
      <c r="K22" s="393"/>
      <c r="L22" s="393"/>
      <c r="M22" s="393"/>
      <c r="N22" s="393"/>
      <c r="O22" s="393"/>
    </row>
    <row r="23" spans="1:15" x14ac:dyDescent="0.25">
      <c r="A23" s="406"/>
      <c r="B23" s="394"/>
      <c r="C23" s="394"/>
      <c r="D23" s="394"/>
      <c r="E23" s="394"/>
      <c r="F23" s="404"/>
      <c r="G23" s="394"/>
      <c r="H23" s="394"/>
      <c r="I23" s="394"/>
      <c r="J23" s="393"/>
      <c r="K23" s="393"/>
      <c r="L23" s="393"/>
      <c r="M23" s="393"/>
      <c r="N23" s="393"/>
      <c r="O23" s="393"/>
    </row>
    <row r="24" spans="1:15" x14ac:dyDescent="0.25">
      <c r="A24" s="406"/>
      <c r="B24" s="394"/>
      <c r="C24" s="394"/>
      <c r="D24" s="394"/>
      <c r="E24" s="397">
        <f>F19+(F16-F17)/(F18-F17)*(F20-F19)</f>
        <v>10.209104552276138</v>
      </c>
      <c r="F24" s="404"/>
      <c r="G24" s="394"/>
      <c r="H24" s="394"/>
      <c r="I24" s="394"/>
      <c r="J24" s="393"/>
      <c r="K24" s="393"/>
      <c r="L24" s="393"/>
      <c r="M24" s="393"/>
      <c r="N24" s="393"/>
      <c r="O24" s="393"/>
    </row>
    <row r="25" spans="1:15" x14ac:dyDescent="0.25">
      <c r="A25" s="406"/>
      <c r="B25" s="394"/>
      <c r="C25" s="394"/>
      <c r="D25" s="394"/>
      <c r="E25" s="397"/>
      <c r="F25" s="404"/>
      <c r="G25" s="394"/>
      <c r="H25" s="394"/>
      <c r="I25" s="394"/>
      <c r="J25" s="393"/>
      <c r="K25" s="393"/>
      <c r="L25" s="393"/>
      <c r="M25" s="393"/>
      <c r="N25" s="393"/>
      <c r="O25" s="393"/>
    </row>
    <row r="26" spans="1:15" x14ac:dyDescent="0.25">
      <c r="A26" s="400" t="s">
        <v>1151</v>
      </c>
      <c r="B26" s="394" t="s">
        <v>1133</v>
      </c>
      <c r="C26" s="394"/>
      <c r="D26" s="394"/>
      <c r="E26" s="394"/>
      <c r="F26" s="404"/>
      <c r="G26" s="394"/>
      <c r="H26" s="394"/>
      <c r="I26" s="394"/>
      <c r="J26" s="393"/>
      <c r="K26" s="393"/>
      <c r="L26" s="393"/>
      <c r="M26" s="393"/>
      <c r="N26" s="393"/>
      <c r="O26" s="393"/>
    </row>
    <row r="27" spans="1:15" x14ac:dyDescent="0.25">
      <c r="A27" s="407" t="s">
        <v>1152</v>
      </c>
      <c r="B27" s="714" t="s">
        <v>1153</v>
      </c>
      <c r="C27" s="715"/>
      <c r="D27" s="715"/>
      <c r="E27" s="394"/>
      <c r="F27" s="394">
        <v>0.12</v>
      </c>
      <c r="G27" s="394"/>
      <c r="H27" s="394"/>
      <c r="I27" s="394"/>
      <c r="J27" s="393"/>
      <c r="K27" s="393"/>
      <c r="L27" s="393"/>
      <c r="M27" s="393"/>
      <c r="N27" s="393"/>
      <c r="O27" s="393"/>
    </row>
    <row r="28" spans="1:15" x14ac:dyDescent="0.25">
      <c r="A28" s="400" t="s">
        <v>1154</v>
      </c>
      <c r="B28" s="394" t="s">
        <v>1155</v>
      </c>
      <c r="C28" s="394"/>
      <c r="D28" s="394"/>
      <c r="E28" s="394"/>
      <c r="F28" s="405">
        <v>0</v>
      </c>
      <c r="G28" s="394"/>
      <c r="H28" s="394"/>
      <c r="I28" s="394"/>
      <c r="J28" s="393"/>
      <c r="K28" s="393"/>
      <c r="L28" s="393"/>
      <c r="M28" s="393"/>
      <c r="N28" s="393"/>
      <c r="O28" s="393"/>
    </row>
    <row r="29" spans="1:15" x14ac:dyDescent="0.25">
      <c r="A29" s="400" t="s">
        <v>1156</v>
      </c>
      <c r="B29" s="394" t="s">
        <v>1157</v>
      </c>
      <c r="C29" s="394"/>
      <c r="D29" s="394"/>
      <c r="E29" s="394"/>
      <c r="F29" s="405">
        <v>0</v>
      </c>
      <c r="G29" s="394"/>
      <c r="H29" s="394"/>
      <c r="I29" s="394"/>
      <c r="J29" s="393"/>
      <c r="K29" s="393"/>
      <c r="L29" s="393"/>
      <c r="M29" s="393"/>
      <c r="N29" s="393"/>
      <c r="O29" s="393"/>
    </row>
    <row r="30" spans="1:15" x14ac:dyDescent="0.25">
      <c r="A30" s="406"/>
      <c r="B30" s="394"/>
      <c r="C30" s="394"/>
      <c r="D30" s="394"/>
      <c r="E30" s="394"/>
      <c r="F30" s="404"/>
      <c r="G30" s="394"/>
      <c r="H30" s="394"/>
      <c r="I30" s="394"/>
      <c r="J30" s="393"/>
      <c r="K30" s="393"/>
      <c r="L30" s="393"/>
      <c r="M30" s="393"/>
      <c r="N30" s="393"/>
      <c r="O30" s="393"/>
    </row>
    <row r="31" spans="1:15" x14ac:dyDescent="0.25">
      <c r="A31" s="400" t="s">
        <v>1158</v>
      </c>
      <c r="B31" s="394"/>
      <c r="C31" s="394"/>
      <c r="D31" s="394"/>
      <c r="E31" s="394"/>
      <c r="F31" s="404"/>
      <c r="G31" s="394"/>
      <c r="H31" s="394"/>
      <c r="I31" s="394"/>
      <c r="J31" s="393"/>
      <c r="K31" s="393"/>
      <c r="L31" s="393"/>
      <c r="M31" s="393"/>
      <c r="N31" s="393"/>
      <c r="O31" s="393"/>
    </row>
    <row r="32" spans="1:15" x14ac:dyDescent="0.25">
      <c r="A32" s="400"/>
      <c r="B32" s="394"/>
      <c r="C32" s="394"/>
      <c r="D32" s="394"/>
      <c r="E32" s="394"/>
      <c r="F32" s="404"/>
      <c r="G32" s="394"/>
      <c r="H32" s="394"/>
      <c r="I32" s="394"/>
      <c r="J32" s="393"/>
      <c r="K32" s="393"/>
      <c r="L32" s="393"/>
      <c r="M32" s="393"/>
      <c r="N32" s="393"/>
      <c r="O32" s="393"/>
    </row>
    <row r="33" spans="1:15" x14ac:dyDescent="0.25">
      <c r="A33" s="406"/>
      <c r="B33" s="394"/>
      <c r="C33" s="394"/>
      <c r="D33" s="394"/>
      <c r="E33" s="394"/>
      <c r="F33" s="404"/>
      <c r="G33" s="394"/>
      <c r="H33" s="394"/>
      <c r="I33" s="394"/>
      <c r="J33" s="393"/>
      <c r="K33" s="393"/>
      <c r="L33" s="393"/>
      <c r="M33" s="393"/>
      <c r="N33" s="393"/>
      <c r="O33" s="393"/>
    </row>
    <row r="34" spans="1:15" x14ac:dyDescent="0.25">
      <c r="A34" s="406"/>
      <c r="B34" s="406" t="s">
        <v>1151</v>
      </c>
      <c r="C34" s="400" t="s">
        <v>1149</v>
      </c>
      <c r="D34" s="400"/>
      <c r="E34" s="406" t="s">
        <v>1159</v>
      </c>
      <c r="F34" s="404"/>
      <c r="G34" s="394"/>
      <c r="H34" s="394"/>
      <c r="I34" s="394"/>
      <c r="J34" s="393"/>
      <c r="K34" s="393"/>
      <c r="L34" s="393"/>
      <c r="M34" s="393"/>
      <c r="N34" s="393"/>
      <c r="O34" s="393"/>
    </row>
    <row r="35" spans="1:15" x14ac:dyDescent="0.25">
      <c r="A35" s="406"/>
      <c r="B35" s="406"/>
      <c r="C35" s="400"/>
      <c r="D35" s="400"/>
      <c r="E35" s="406"/>
      <c r="F35" s="404"/>
      <c r="G35" s="394"/>
      <c r="H35" s="394"/>
      <c r="I35" s="394"/>
      <c r="J35" s="393"/>
      <c r="K35" s="393"/>
      <c r="L35" s="393"/>
      <c r="M35" s="393"/>
      <c r="N35" s="393"/>
      <c r="O35" s="393"/>
    </row>
    <row r="36" spans="1:15" x14ac:dyDescent="0.25">
      <c r="A36" s="406"/>
      <c r="B36" s="394"/>
      <c r="C36" s="394"/>
      <c r="D36" s="394"/>
      <c r="E36" s="408" t="s">
        <v>1160</v>
      </c>
      <c r="F36" s="408"/>
      <c r="G36" s="409"/>
      <c r="H36" s="394"/>
      <c r="I36" s="394"/>
      <c r="J36" s="393"/>
      <c r="K36" s="393"/>
      <c r="L36" s="393"/>
      <c r="M36" s="393"/>
      <c r="N36" s="393"/>
      <c r="O36" s="393"/>
    </row>
    <row r="37" spans="1:15" x14ac:dyDescent="0.25">
      <c r="A37" s="406"/>
      <c r="B37" s="394"/>
      <c r="C37" s="394"/>
      <c r="D37" s="394" t="s">
        <v>1161</v>
      </c>
      <c r="E37" s="397">
        <f>+ROUND(E24*(1+F27+0+0),2)</f>
        <v>11.43</v>
      </c>
      <c r="F37" s="398"/>
      <c r="G37" s="398"/>
      <c r="H37" s="394"/>
      <c r="I37" s="395"/>
      <c r="J37" s="393"/>
      <c r="K37" s="393"/>
      <c r="L37" s="393"/>
      <c r="M37" s="393"/>
      <c r="N37" s="393"/>
      <c r="O37" s="393"/>
    </row>
    <row r="38" spans="1:15" x14ac:dyDescent="0.25">
      <c r="A38" s="394"/>
      <c r="B38" s="394"/>
      <c r="C38" s="394"/>
      <c r="D38" s="394"/>
      <c r="E38" s="394"/>
      <c r="F38" s="394"/>
      <c r="G38" s="394"/>
      <c r="H38" s="394"/>
      <c r="I38" s="394"/>
      <c r="J38" s="393"/>
      <c r="K38" s="393"/>
      <c r="L38" s="393"/>
      <c r="M38" s="393"/>
      <c r="N38" s="393"/>
      <c r="O38" s="393"/>
    </row>
    <row r="39" spans="1:15" x14ac:dyDescent="0.25">
      <c r="A39" s="394"/>
      <c r="B39" s="394"/>
      <c r="C39" s="394"/>
      <c r="D39" s="394"/>
      <c r="E39" s="394"/>
      <c r="F39" s="410"/>
      <c r="G39" s="398"/>
      <c r="H39" s="394"/>
      <c r="I39" s="394"/>
      <c r="J39" s="393"/>
      <c r="K39" s="393"/>
      <c r="L39" s="393"/>
      <c r="M39" s="393"/>
      <c r="N39" s="393"/>
      <c r="O39" s="393"/>
    </row>
    <row r="40" spans="1:15" x14ac:dyDescent="0.25">
      <c r="A40" s="394"/>
      <c r="B40" s="406"/>
      <c r="C40" s="394"/>
      <c r="D40" s="394"/>
      <c r="E40" s="394"/>
      <c r="F40" s="410"/>
      <c r="G40" s="398"/>
      <c r="H40" s="394"/>
      <c r="I40" s="394"/>
      <c r="J40" s="393"/>
      <c r="K40" s="393"/>
      <c r="L40" s="393"/>
      <c r="M40" s="393"/>
      <c r="N40" s="393"/>
      <c r="O40" s="393"/>
    </row>
    <row r="41" spans="1:15" x14ac:dyDescent="0.25">
      <c r="A41" s="394"/>
      <c r="B41" s="411" t="s">
        <v>911</v>
      </c>
      <c r="C41" s="396" t="s">
        <v>0</v>
      </c>
      <c r="D41" s="396" t="s">
        <v>1</v>
      </c>
      <c r="E41" s="396" t="s">
        <v>4</v>
      </c>
      <c r="F41" s="400" t="s">
        <v>2</v>
      </c>
      <c r="G41" s="394"/>
      <c r="H41" s="394"/>
      <c r="I41" s="394"/>
      <c r="J41" s="393"/>
      <c r="K41" s="393"/>
      <c r="L41" s="393"/>
      <c r="M41" s="393"/>
      <c r="N41" s="393"/>
      <c r="O41" s="393"/>
    </row>
    <row r="42" spans="1:15" x14ac:dyDescent="0.25">
      <c r="A42" s="394"/>
      <c r="B42" s="412"/>
      <c r="C42" s="412"/>
      <c r="D42" s="412"/>
      <c r="E42" s="412"/>
      <c r="F42" s="398"/>
      <c r="G42" s="394"/>
      <c r="H42" s="394"/>
      <c r="I42" s="394"/>
      <c r="J42" s="393"/>
      <c r="K42" s="393"/>
      <c r="L42" s="393"/>
      <c r="M42" s="393"/>
      <c r="N42" s="393"/>
      <c r="O42" s="393"/>
    </row>
    <row r="43" spans="1:15" x14ac:dyDescent="0.25">
      <c r="A43" s="406" t="s">
        <v>1162</v>
      </c>
      <c r="B43" s="412">
        <f>B6*A13</f>
        <v>23357516.681830343</v>
      </c>
      <c r="C43" s="412">
        <f>SUM(B6*B13)</f>
        <v>14323005.512443136</v>
      </c>
      <c r="D43" s="412">
        <f>SUM(B6*C13)</f>
        <v>9017560.8670056183</v>
      </c>
      <c r="E43" s="412">
        <f>SUM(B6*D13)</f>
        <v>16645196.938720899</v>
      </c>
      <c r="F43" s="398">
        <f t="shared" ref="F43" si="0">SUM(B43:E43)</f>
        <v>63343279.999999993</v>
      </c>
      <c r="G43" s="394"/>
      <c r="H43" s="394"/>
      <c r="I43" s="394"/>
      <c r="J43" s="393"/>
      <c r="K43" s="393"/>
      <c r="L43" s="393"/>
      <c r="M43" s="393"/>
      <c r="N43" s="393"/>
      <c r="O43" s="393"/>
    </row>
    <row r="44" spans="1:15" x14ac:dyDescent="0.25">
      <c r="A44" s="406"/>
      <c r="B44" s="412"/>
      <c r="C44" s="412"/>
      <c r="D44" s="412"/>
      <c r="E44" s="412"/>
      <c r="F44" s="398"/>
      <c r="G44" s="394"/>
      <c r="H44" s="394"/>
      <c r="I44" s="394"/>
      <c r="J44" s="393"/>
      <c r="K44" s="393"/>
      <c r="L44" s="393"/>
      <c r="M44" s="393"/>
      <c r="N44" s="393"/>
      <c r="O44" s="393"/>
    </row>
    <row r="45" spans="1:15" x14ac:dyDescent="0.25">
      <c r="A45" s="394"/>
      <c r="B45" s="401"/>
      <c r="C45" s="401"/>
      <c r="D45" s="401"/>
      <c r="E45" s="401"/>
      <c r="F45" s="398"/>
      <c r="G45" s="394"/>
      <c r="H45" s="394"/>
      <c r="I45" s="394"/>
      <c r="J45" s="393"/>
      <c r="K45" s="393"/>
      <c r="L45" s="393"/>
      <c r="M45" s="393"/>
      <c r="N45" s="393"/>
      <c r="O45" s="393"/>
    </row>
    <row r="46" spans="1:15" hidden="1" x14ac:dyDescent="0.25">
      <c r="A46" s="598" t="s">
        <v>1163</v>
      </c>
      <c r="B46" s="599">
        <f>SUM(E93+E94+E95+E110+D112+D129+D131+D132+D135+D130)</f>
        <v>11223611.600000001</v>
      </c>
      <c r="C46" s="394"/>
      <c r="D46" s="394"/>
      <c r="E46" s="395"/>
      <c r="F46" s="394"/>
      <c r="G46" s="394"/>
      <c r="H46" s="394"/>
      <c r="I46" s="394"/>
      <c r="J46" s="393"/>
      <c r="K46" s="393"/>
      <c r="L46" s="393"/>
      <c r="M46" s="393"/>
      <c r="N46" s="393"/>
      <c r="O46" s="393"/>
    </row>
    <row r="47" spans="1:15" hidden="1" x14ac:dyDescent="0.25">
      <c r="A47" s="394"/>
      <c r="B47" s="394"/>
      <c r="C47" s="394"/>
      <c r="D47" s="394"/>
      <c r="E47" s="395"/>
      <c r="F47" s="394"/>
      <c r="G47" s="394"/>
      <c r="H47" s="394"/>
      <c r="I47" s="394"/>
      <c r="J47" s="393"/>
      <c r="K47" s="393"/>
      <c r="L47" s="393"/>
      <c r="M47" s="393"/>
      <c r="N47" s="393"/>
      <c r="O47" s="393"/>
    </row>
    <row r="48" spans="1:15" hidden="1" x14ac:dyDescent="0.25">
      <c r="A48" s="394"/>
      <c r="B48" s="411" t="s">
        <v>911</v>
      </c>
      <c r="C48" s="396" t="s">
        <v>0</v>
      </c>
      <c r="D48" s="396" t="s">
        <v>1</v>
      </c>
      <c r="E48" s="396" t="s">
        <v>4</v>
      </c>
      <c r="F48" s="400" t="s">
        <v>2</v>
      </c>
      <c r="G48" s="394"/>
      <c r="H48" s="394"/>
      <c r="I48" s="394"/>
      <c r="J48" s="393"/>
      <c r="K48" s="393"/>
      <c r="L48" s="393"/>
      <c r="M48" s="393"/>
      <c r="N48" s="393"/>
      <c r="O48" s="393"/>
    </row>
    <row r="49" spans="1:15" hidden="1" x14ac:dyDescent="0.25">
      <c r="A49" s="394" t="s">
        <v>1164</v>
      </c>
      <c r="B49" s="401">
        <f>SUM(B46*A13)</f>
        <v>4138650.4642226389</v>
      </c>
      <c r="C49" s="401">
        <f>SUM(B46*B13)</f>
        <v>2537851.6997591653</v>
      </c>
      <c r="D49" s="401">
        <f>SUM(B46*C13)</f>
        <v>1597795.3896708591</v>
      </c>
      <c r="E49" s="401">
        <f>SUM(B46*D13)</f>
        <v>2949314.0463473378</v>
      </c>
      <c r="F49" s="398">
        <f>SUM(B49:E49)</f>
        <v>11223611.600000001</v>
      </c>
      <c r="G49" s="394"/>
      <c r="H49" s="394"/>
      <c r="I49" s="394"/>
      <c r="J49" s="393"/>
      <c r="K49" s="393"/>
      <c r="L49" s="393"/>
      <c r="M49" s="393"/>
      <c r="N49" s="393"/>
      <c r="O49" s="393"/>
    </row>
    <row r="50" spans="1:15" x14ac:dyDescent="0.25">
      <c r="A50" s="413"/>
      <c r="B50" s="413"/>
      <c r="C50" s="413"/>
      <c r="D50" s="413"/>
      <c r="E50" s="414"/>
      <c r="F50" s="394"/>
      <c r="G50" s="394"/>
      <c r="H50" s="394"/>
      <c r="I50" s="394"/>
      <c r="J50" s="393"/>
      <c r="K50" s="393"/>
      <c r="L50" s="393"/>
      <c r="M50" s="393"/>
      <c r="N50" s="393"/>
      <c r="O50" s="393"/>
    </row>
    <row r="51" spans="1:15" x14ac:dyDescent="0.25">
      <c r="A51" s="394"/>
      <c r="B51" s="394"/>
      <c r="C51" s="394"/>
      <c r="D51" s="394"/>
      <c r="E51" s="395"/>
      <c r="F51" s="394"/>
      <c r="G51" s="394"/>
      <c r="H51" s="394"/>
      <c r="I51" s="394"/>
      <c r="J51" s="393"/>
      <c r="K51" s="393"/>
      <c r="L51" s="393"/>
      <c r="M51" s="393"/>
      <c r="N51" s="393"/>
      <c r="O51" s="393"/>
    </row>
    <row r="52" spans="1:15" x14ac:dyDescent="0.25">
      <c r="A52" s="415"/>
      <c r="B52" s="416" t="s">
        <v>911</v>
      </c>
      <c r="C52" s="417" t="s">
        <v>0</v>
      </c>
      <c r="D52" s="417" t="s">
        <v>1</v>
      </c>
      <c r="E52" s="417" t="s">
        <v>4</v>
      </c>
      <c r="F52" s="417" t="s">
        <v>2</v>
      </c>
      <c r="G52" s="394"/>
      <c r="H52" s="418"/>
      <c r="I52" s="419" t="s">
        <v>911</v>
      </c>
      <c r="J52" s="419" t="s">
        <v>0</v>
      </c>
      <c r="K52" s="419" t="s">
        <v>1</v>
      </c>
      <c r="L52" s="419" t="s">
        <v>4</v>
      </c>
      <c r="M52" s="419" t="s">
        <v>2</v>
      </c>
      <c r="N52" s="420"/>
      <c r="O52" s="393"/>
    </row>
    <row r="53" spans="1:15" x14ac:dyDescent="0.25">
      <c r="A53" s="415"/>
      <c r="B53" s="421"/>
      <c r="C53" s="421"/>
      <c r="D53" s="421"/>
      <c r="E53" s="421"/>
      <c r="F53" s="422"/>
      <c r="G53" s="394"/>
      <c r="H53" s="418" t="s">
        <v>1261</v>
      </c>
      <c r="I53" s="423">
        <f>SUM(M53*A13)</f>
        <v>1931921.3379716349</v>
      </c>
      <c r="J53" s="424">
        <f>SUM(M53*B13)</f>
        <v>1184668.7449826063</v>
      </c>
      <c r="K53" s="424">
        <f>SUM(M53*C13)</f>
        <v>745850.61814289528</v>
      </c>
      <c r="L53" s="424">
        <f>SUM(M53*D13)</f>
        <v>1376739.2989028632</v>
      </c>
      <c r="M53" s="420">
        <f>SUM('KÖH bevétel'!E11)</f>
        <v>5239180</v>
      </c>
      <c r="N53" s="424">
        <f>SUM(I53:L53)</f>
        <v>5239180</v>
      </c>
      <c r="O53" s="393"/>
    </row>
    <row r="54" spans="1:15" x14ac:dyDescent="0.25">
      <c r="A54" s="415" t="s">
        <v>1165</v>
      </c>
      <c r="B54" s="425">
        <f>B43+C49+D49+E49</f>
        <v>30442477.817607708</v>
      </c>
      <c r="C54" s="425">
        <f>C43-C49</f>
        <v>11785153.812683972</v>
      </c>
      <c r="D54" s="425">
        <f>D43-D49</f>
        <v>7419765.4773347592</v>
      </c>
      <c r="E54" s="425">
        <f>E43-E49</f>
        <v>13695882.892373562</v>
      </c>
      <c r="F54" s="422">
        <f>SUM(B54:E54)</f>
        <v>63343280</v>
      </c>
      <c r="G54" s="394"/>
      <c r="H54" s="394"/>
      <c r="I54" s="394"/>
      <c r="J54" s="393"/>
      <c r="K54" s="393"/>
      <c r="L54" s="393"/>
      <c r="M54" s="393"/>
      <c r="N54" s="393"/>
      <c r="O54" s="393"/>
    </row>
    <row r="55" spans="1:15" x14ac:dyDescent="0.25">
      <c r="A55" s="426"/>
      <c r="B55" s="426"/>
      <c r="C55" s="426"/>
      <c r="D55" s="426"/>
      <c r="E55" s="426"/>
      <c r="F55" s="426"/>
      <c r="G55" s="394"/>
      <c r="H55" s="394"/>
      <c r="I55" s="394"/>
      <c r="J55" s="393"/>
      <c r="K55" s="393"/>
      <c r="L55" s="393"/>
      <c r="M55" s="393"/>
      <c r="N55" s="393"/>
      <c r="O55" s="393"/>
    </row>
    <row r="56" spans="1:15" x14ac:dyDescent="0.25">
      <c r="A56" s="394"/>
      <c r="B56" s="394"/>
      <c r="C56" s="394"/>
      <c r="D56" s="394"/>
      <c r="E56" s="394"/>
      <c r="F56" s="398"/>
      <c r="G56" s="394"/>
      <c r="H56" s="394"/>
      <c r="I56" s="394"/>
      <c r="J56" s="393"/>
      <c r="K56" s="393"/>
      <c r="L56" s="393"/>
      <c r="M56" s="393"/>
      <c r="N56" s="393"/>
      <c r="O56" s="393"/>
    </row>
    <row r="57" spans="1:15" ht="18.75" customHeight="1" x14ac:dyDescent="0.25">
      <c r="A57" s="716" t="s">
        <v>1166</v>
      </c>
      <c r="B57" s="717"/>
      <c r="C57" s="717"/>
      <c r="D57" s="717"/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O57" s="718"/>
    </row>
    <row r="58" spans="1:15" x14ac:dyDescent="0.25">
      <c r="A58" s="427"/>
      <c r="B58" s="428"/>
      <c r="C58" s="428"/>
      <c r="D58" s="428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30"/>
    </row>
    <row r="59" spans="1:15" x14ac:dyDescent="0.25">
      <c r="A59" s="431"/>
      <c r="B59" s="719" t="s">
        <v>830</v>
      </c>
      <c r="C59" s="720"/>
      <c r="D59" s="432"/>
      <c r="E59" s="719" t="s">
        <v>0</v>
      </c>
      <c r="F59" s="720"/>
      <c r="G59" s="432"/>
      <c r="H59" s="719" t="s">
        <v>1</v>
      </c>
      <c r="I59" s="720"/>
      <c r="J59" s="432"/>
      <c r="K59" s="719" t="s">
        <v>1136</v>
      </c>
      <c r="L59" s="720"/>
      <c r="M59" s="432"/>
      <c r="N59" s="719" t="s">
        <v>2</v>
      </c>
      <c r="O59" s="720"/>
    </row>
    <row r="60" spans="1:15" ht="22.5" x14ac:dyDescent="0.25">
      <c r="A60" s="433" t="s">
        <v>130</v>
      </c>
      <c r="B60" s="434" t="s">
        <v>1319</v>
      </c>
      <c r="C60" s="435" t="s">
        <v>1320</v>
      </c>
      <c r="D60" s="436"/>
      <c r="E60" s="434" t="s">
        <v>1321</v>
      </c>
      <c r="F60" s="435" t="s">
        <v>1320</v>
      </c>
      <c r="G60" s="436"/>
      <c r="H60" s="434" t="s">
        <v>1321</v>
      </c>
      <c r="I60" s="435" t="s">
        <v>1322</v>
      </c>
      <c r="J60" s="437"/>
      <c r="K60" s="434" t="s">
        <v>1319</v>
      </c>
      <c r="L60" s="435" t="s">
        <v>1322</v>
      </c>
      <c r="M60" s="437"/>
      <c r="N60" s="434" t="s">
        <v>1319</v>
      </c>
      <c r="O60" s="435" t="s">
        <v>1320</v>
      </c>
    </row>
    <row r="61" spans="1:15" ht="22.5" x14ac:dyDescent="0.25">
      <c r="A61" s="438" t="s">
        <v>225</v>
      </c>
      <c r="B61" s="439">
        <v>23873176</v>
      </c>
      <c r="C61" s="440">
        <f>SUM(G124)</f>
        <v>27383320</v>
      </c>
      <c r="D61" s="441"/>
      <c r="E61" s="442">
        <v>13126069</v>
      </c>
      <c r="F61" s="439">
        <f>SUM(G211)</f>
        <v>12747000</v>
      </c>
      <c r="G61" s="441"/>
      <c r="H61" s="439">
        <v>5451845</v>
      </c>
      <c r="I61" s="439">
        <f>SUM(G276)</f>
        <v>6281800</v>
      </c>
      <c r="J61" s="441"/>
      <c r="K61" s="439">
        <v>14853119</v>
      </c>
      <c r="L61" s="439">
        <f>SUM(G365)</f>
        <v>19754500</v>
      </c>
      <c r="M61" s="441"/>
      <c r="N61" s="439">
        <f>SUM(B61+E61+H61+K61)</f>
        <v>57304209</v>
      </c>
      <c r="O61" s="439">
        <f>SUM(C61+F61+I61+L61)</f>
        <v>66166620</v>
      </c>
    </row>
    <row r="62" spans="1:15" ht="78.75" x14ac:dyDescent="0.25">
      <c r="A62" s="438" t="s">
        <v>1167</v>
      </c>
      <c r="B62" s="439">
        <v>3972751</v>
      </c>
      <c r="C62" s="440">
        <f>SUM(G137)</f>
        <v>3503251.5999999996</v>
      </c>
      <c r="D62" s="441"/>
      <c r="E62" s="442">
        <v>2155333</v>
      </c>
      <c r="F62" s="439">
        <f>SUM(G219)</f>
        <v>1737480</v>
      </c>
      <c r="G62" s="441"/>
      <c r="H62" s="439">
        <v>899463</v>
      </c>
      <c r="I62" s="439">
        <f>SUM(G285)</f>
        <v>851174</v>
      </c>
      <c r="J62" s="441"/>
      <c r="K62" s="439">
        <v>2447054</v>
      </c>
      <c r="L62" s="439">
        <f>SUM(G374)</f>
        <v>2378880</v>
      </c>
      <c r="M62" s="441"/>
      <c r="N62" s="439">
        <f>SUM(B62+E62+H62+K62)</f>
        <v>9474601</v>
      </c>
      <c r="O62" s="439">
        <f t="shared" ref="O62:O85" si="1">SUM(C62+F62+I62+L62)</f>
        <v>8470785.5999999996</v>
      </c>
    </row>
    <row r="63" spans="1:15" ht="22.5" x14ac:dyDescent="0.25">
      <c r="A63" s="443" t="s">
        <v>159</v>
      </c>
      <c r="B63" s="444">
        <v>411496</v>
      </c>
      <c r="C63" s="445">
        <f>SUM(F138)</f>
        <v>108000</v>
      </c>
      <c r="D63" s="446"/>
      <c r="E63" s="447">
        <v>19078</v>
      </c>
      <c r="F63" s="444">
        <f>SUM(F220)</f>
        <v>69000</v>
      </c>
      <c r="G63" s="446"/>
      <c r="H63" s="444">
        <v>39935</v>
      </c>
      <c r="I63" s="444">
        <f>SUM(F286)</f>
        <v>44000</v>
      </c>
      <c r="J63" s="446"/>
      <c r="K63" s="444">
        <v>22252</v>
      </c>
      <c r="L63" s="444">
        <f>SUM(F375)</f>
        <v>77000</v>
      </c>
      <c r="M63" s="446"/>
      <c r="N63" s="444">
        <f>SUM(B63+E63+H63+K63)</f>
        <v>492761</v>
      </c>
      <c r="O63" s="439">
        <f t="shared" si="1"/>
        <v>298000</v>
      </c>
    </row>
    <row r="64" spans="1:15" ht="22.5" x14ac:dyDescent="0.25">
      <c r="A64" s="443" t="s">
        <v>180</v>
      </c>
      <c r="B64" s="444">
        <v>365184</v>
      </c>
      <c r="C64" s="445">
        <f>SUM(F142)</f>
        <v>445000</v>
      </c>
      <c r="D64" s="446"/>
      <c r="E64" s="447">
        <v>105444</v>
      </c>
      <c r="F64" s="444">
        <f>SUM(F224)</f>
        <v>120000</v>
      </c>
      <c r="G64" s="446"/>
      <c r="H64" s="444">
        <v>178273</v>
      </c>
      <c r="I64" s="444">
        <f>SUM(F290)</f>
        <v>110000</v>
      </c>
      <c r="J64" s="446"/>
      <c r="K64" s="444">
        <v>76826</v>
      </c>
      <c r="L64" s="444">
        <f>SUM(F379)</f>
        <v>220000</v>
      </c>
      <c r="M64" s="446"/>
      <c r="N64" s="444">
        <f>SUM(B64+E64+H64+K64)</f>
        <v>725727</v>
      </c>
      <c r="O64" s="439">
        <f t="shared" si="1"/>
        <v>895000</v>
      </c>
    </row>
    <row r="65" spans="1:15" ht="33.75" x14ac:dyDescent="0.25">
      <c r="A65" s="443" t="s">
        <v>894</v>
      </c>
      <c r="B65" s="444">
        <v>584759</v>
      </c>
      <c r="C65" s="445">
        <f>SUM(F146)</f>
        <v>778000</v>
      </c>
      <c r="D65" s="446"/>
      <c r="E65" s="447">
        <v>342000</v>
      </c>
      <c r="F65" s="444">
        <f>SUM(F227)</f>
        <v>410000</v>
      </c>
      <c r="G65" s="446"/>
      <c r="H65" s="444">
        <v>713458</v>
      </c>
      <c r="I65" s="444">
        <f>SUM(F293)</f>
        <v>526000</v>
      </c>
      <c r="J65" s="446"/>
      <c r="K65" s="444">
        <v>555030</v>
      </c>
      <c r="L65" s="444">
        <f>SUM(F384)</f>
        <v>624000</v>
      </c>
      <c r="M65" s="446"/>
      <c r="N65" s="444">
        <f>SUM(B65+E65+H65+H65)</f>
        <v>2353675</v>
      </c>
      <c r="O65" s="439">
        <f t="shared" si="1"/>
        <v>2338000</v>
      </c>
    </row>
    <row r="66" spans="1:15" x14ac:dyDescent="0.25">
      <c r="A66" s="443" t="s">
        <v>131</v>
      </c>
      <c r="B66" s="444">
        <v>99386</v>
      </c>
      <c r="C66" s="445">
        <f>SUM(F152)</f>
        <v>120000</v>
      </c>
      <c r="D66" s="446"/>
      <c r="E66" s="447">
        <v>46329</v>
      </c>
      <c r="F66" s="444">
        <f>SUM(F233)</f>
        <v>48000</v>
      </c>
      <c r="G66" s="446"/>
      <c r="H66" s="444">
        <v>85985</v>
      </c>
      <c r="I66" s="444">
        <f>SUM(F299)</f>
        <v>96000</v>
      </c>
      <c r="J66" s="446"/>
      <c r="K66" s="444">
        <v>0</v>
      </c>
      <c r="L66" s="444">
        <f>SUM(F389)</f>
        <v>0</v>
      </c>
      <c r="M66" s="446"/>
      <c r="N66" s="444">
        <f t="shared" ref="N66:N74" si="2">SUM(B66+E66+H66+H66)</f>
        <v>317685</v>
      </c>
      <c r="O66" s="439">
        <f t="shared" si="1"/>
        <v>264000</v>
      </c>
    </row>
    <row r="67" spans="1:15" ht="22.5" x14ac:dyDescent="0.25">
      <c r="A67" s="443" t="s">
        <v>1168</v>
      </c>
      <c r="B67" s="444">
        <v>0</v>
      </c>
      <c r="C67" s="445">
        <f>SUM(F154)</f>
        <v>32000</v>
      </c>
      <c r="D67" s="446"/>
      <c r="E67" s="447">
        <v>0</v>
      </c>
      <c r="F67" s="444">
        <v>0</v>
      </c>
      <c r="G67" s="446"/>
      <c r="H67" s="448">
        <v>0</v>
      </c>
      <c r="I67" s="444">
        <v>0</v>
      </c>
      <c r="J67" s="446"/>
      <c r="K67" s="448">
        <v>0</v>
      </c>
      <c r="L67" s="444">
        <v>0</v>
      </c>
      <c r="M67" s="446"/>
      <c r="N67" s="444">
        <f t="shared" si="2"/>
        <v>0</v>
      </c>
      <c r="O67" s="439">
        <f t="shared" si="1"/>
        <v>32000</v>
      </c>
    </row>
    <row r="68" spans="1:15" ht="22.5" x14ac:dyDescent="0.25">
      <c r="A68" s="443" t="s">
        <v>132</v>
      </c>
      <c r="B68" s="444">
        <v>0</v>
      </c>
      <c r="C68" s="445">
        <f>SUM(F156)</f>
        <v>0</v>
      </c>
      <c r="D68" s="446"/>
      <c r="E68" s="447">
        <v>0</v>
      </c>
      <c r="F68" s="444">
        <f>SUM(F235)</f>
        <v>0</v>
      </c>
      <c r="G68" s="446"/>
      <c r="H68" s="444">
        <v>0</v>
      </c>
      <c r="I68" s="444">
        <f>SUM(F301)</f>
        <v>10000</v>
      </c>
      <c r="J68" s="446"/>
      <c r="K68" s="444">
        <v>0</v>
      </c>
      <c r="L68" s="444">
        <f>SUM(F391)</f>
        <v>0</v>
      </c>
      <c r="M68" s="446"/>
      <c r="N68" s="444">
        <f t="shared" si="2"/>
        <v>0</v>
      </c>
      <c r="O68" s="439">
        <f t="shared" si="1"/>
        <v>10000</v>
      </c>
    </row>
    <row r="69" spans="1:15" ht="33.75" x14ac:dyDescent="0.25">
      <c r="A69" s="443" t="s">
        <v>133</v>
      </c>
      <c r="B69" s="444">
        <v>0</v>
      </c>
      <c r="C69" s="445">
        <f>SUM(F158)</f>
        <v>0</v>
      </c>
      <c r="D69" s="446"/>
      <c r="E69" s="447">
        <v>0</v>
      </c>
      <c r="F69" s="444">
        <f>SUM(F237)</f>
        <v>0</v>
      </c>
      <c r="G69" s="446"/>
      <c r="H69" s="444">
        <v>0</v>
      </c>
      <c r="I69" s="444">
        <f>SUM(F303)</f>
        <v>0</v>
      </c>
      <c r="J69" s="446"/>
      <c r="K69" s="444">
        <v>0</v>
      </c>
      <c r="L69" s="444">
        <f>SUM(F393)</f>
        <v>0</v>
      </c>
      <c r="M69" s="446"/>
      <c r="N69" s="444">
        <f t="shared" si="2"/>
        <v>0</v>
      </c>
      <c r="O69" s="439">
        <f t="shared" si="1"/>
        <v>0</v>
      </c>
    </row>
    <row r="70" spans="1:15" ht="22.5" x14ac:dyDescent="0.25">
      <c r="A70" s="443" t="s">
        <v>1169</v>
      </c>
      <c r="B70" s="444">
        <v>19000</v>
      </c>
      <c r="C70" s="445">
        <f>SUM(F160)</f>
        <v>20000</v>
      </c>
      <c r="D70" s="446"/>
      <c r="E70" s="447">
        <v>21000</v>
      </c>
      <c r="F70" s="444">
        <f>SUM(F239)</f>
        <v>10000</v>
      </c>
      <c r="G70" s="446"/>
      <c r="H70" s="444">
        <v>0</v>
      </c>
      <c r="I70" s="444">
        <f>SUM(F305)</f>
        <v>98000</v>
      </c>
      <c r="J70" s="446"/>
      <c r="K70" s="444">
        <v>39000</v>
      </c>
      <c r="L70" s="444">
        <f>SUM(F395)</f>
        <v>2500000</v>
      </c>
      <c r="M70" s="446"/>
      <c r="N70" s="444">
        <f t="shared" si="2"/>
        <v>40000</v>
      </c>
      <c r="O70" s="439">
        <f t="shared" si="1"/>
        <v>2628000</v>
      </c>
    </row>
    <row r="71" spans="1:15" ht="33.75" x14ac:dyDescent="0.25">
      <c r="A71" s="443" t="s">
        <v>134</v>
      </c>
      <c r="B71" s="444">
        <v>1110885</v>
      </c>
      <c r="C71" s="445">
        <f>SUM(F162)</f>
        <v>1000000</v>
      </c>
      <c r="D71" s="446"/>
      <c r="E71" s="447">
        <v>303806</v>
      </c>
      <c r="F71" s="444">
        <f>SUM(F241)</f>
        <v>300000</v>
      </c>
      <c r="G71" s="446"/>
      <c r="H71" s="444">
        <v>169995</v>
      </c>
      <c r="I71" s="449">
        <f>SUM(F308)</f>
        <v>600000</v>
      </c>
      <c r="J71" s="446"/>
      <c r="K71" s="444">
        <v>144642</v>
      </c>
      <c r="L71" s="444">
        <f>SUM(F398)</f>
        <v>200000</v>
      </c>
      <c r="M71" s="446"/>
      <c r="N71" s="444">
        <f t="shared" si="2"/>
        <v>1754681</v>
      </c>
      <c r="O71" s="439">
        <f t="shared" si="1"/>
        <v>2100000</v>
      </c>
    </row>
    <row r="72" spans="1:15" x14ac:dyDescent="0.25">
      <c r="A72" s="443" t="s">
        <v>144</v>
      </c>
      <c r="B72" s="444">
        <v>97887</v>
      </c>
      <c r="C72" s="445">
        <f>SUM(F167)</f>
        <v>38000</v>
      </c>
      <c r="D72" s="446"/>
      <c r="E72" s="447">
        <v>1689</v>
      </c>
      <c r="F72" s="444">
        <f>SUM(F246)</f>
        <v>24000</v>
      </c>
      <c r="G72" s="446"/>
      <c r="H72" s="444">
        <v>61386</v>
      </c>
      <c r="I72" s="449">
        <f>SUM(F313)</f>
        <v>20000</v>
      </c>
      <c r="J72" s="446"/>
      <c r="K72" s="444">
        <v>129585</v>
      </c>
      <c r="L72" s="444">
        <f>SUM(F403)</f>
        <v>205000</v>
      </c>
      <c r="M72" s="446"/>
      <c r="N72" s="444">
        <f t="shared" si="2"/>
        <v>222348</v>
      </c>
      <c r="O72" s="439">
        <f t="shared" si="1"/>
        <v>287000</v>
      </c>
    </row>
    <row r="73" spans="1:15" ht="33.75" x14ac:dyDescent="0.25">
      <c r="A73" s="443" t="s">
        <v>1170</v>
      </c>
      <c r="B73" s="444">
        <v>418189</v>
      </c>
      <c r="C73" s="445">
        <f>SUM(F171)</f>
        <v>460000</v>
      </c>
      <c r="D73" s="446"/>
      <c r="E73" s="447">
        <v>125851</v>
      </c>
      <c r="F73" s="444">
        <f>SUM(F248)</f>
        <v>200000</v>
      </c>
      <c r="G73" s="446"/>
      <c r="H73" s="444">
        <v>279626</v>
      </c>
      <c r="I73" s="444">
        <f>SUM(F315)</f>
        <v>340000</v>
      </c>
      <c r="J73" s="446"/>
      <c r="K73" s="444">
        <v>184700</v>
      </c>
      <c r="L73" s="444">
        <f>SUM(F407)</f>
        <v>270000</v>
      </c>
      <c r="M73" s="446"/>
      <c r="N73" s="444">
        <f t="shared" si="2"/>
        <v>1103292</v>
      </c>
      <c r="O73" s="439">
        <f t="shared" si="1"/>
        <v>1270000</v>
      </c>
    </row>
    <row r="74" spans="1:15" ht="22.5" x14ac:dyDescent="0.25">
      <c r="A74" s="443" t="s">
        <v>175</v>
      </c>
      <c r="B74" s="444">
        <v>1738</v>
      </c>
      <c r="C74" s="445">
        <f>SUM(F173)</f>
        <v>2000</v>
      </c>
      <c r="D74" s="446"/>
      <c r="E74" s="447">
        <v>0</v>
      </c>
      <c r="F74" s="444">
        <f>SUM(F250)</f>
        <v>1000</v>
      </c>
      <c r="G74" s="446"/>
      <c r="H74" s="444">
        <v>0</v>
      </c>
      <c r="I74" s="444">
        <f>SUM(F317)</f>
        <v>1000</v>
      </c>
      <c r="J74" s="446"/>
      <c r="K74" s="444">
        <v>0</v>
      </c>
      <c r="L74" s="444">
        <f>SUM(F409)</f>
        <v>1000</v>
      </c>
      <c r="M74" s="446"/>
      <c r="N74" s="444">
        <f t="shared" si="2"/>
        <v>1738</v>
      </c>
      <c r="O74" s="439">
        <f t="shared" si="1"/>
        <v>5000</v>
      </c>
    </row>
    <row r="75" spans="1:15" ht="22.5" x14ac:dyDescent="0.25">
      <c r="A75" s="438" t="s">
        <v>135</v>
      </c>
      <c r="B75" s="439">
        <f>SUM(B63:B74)</f>
        <v>3108524</v>
      </c>
      <c r="C75" s="440">
        <f>SUM(C63:C74)</f>
        <v>3003000</v>
      </c>
      <c r="D75" s="441"/>
      <c r="E75" s="442">
        <f>SUM(E63:E74)</f>
        <v>965197</v>
      </c>
      <c r="F75" s="442">
        <f>SUM(F63:F74)</f>
        <v>1182000</v>
      </c>
      <c r="G75" s="441"/>
      <c r="H75" s="439">
        <f>SUM(H63:H74)</f>
        <v>1528658</v>
      </c>
      <c r="I75" s="439">
        <f>SUM(I63:I74)</f>
        <v>1845000</v>
      </c>
      <c r="J75" s="441"/>
      <c r="K75" s="439">
        <f>SUM(K63:K74)</f>
        <v>1152035</v>
      </c>
      <c r="L75" s="439">
        <f>SUM(L63:L74)</f>
        <v>4097000</v>
      </c>
      <c r="M75" s="441"/>
      <c r="N75" s="439">
        <f t="shared" ref="N75:N80" si="3">B75+E75+H75+K75</f>
        <v>6754414</v>
      </c>
      <c r="O75" s="439">
        <f>SUM(C75+F75+I75+L75)</f>
        <v>10127000</v>
      </c>
    </row>
    <row r="76" spans="1:15" ht="67.5" x14ac:dyDescent="0.25">
      <c r="A76" s="443" t="s">
        <v>1171</v>
      </c>
      <c r="B76" s="444">
        <v>36000</v>
      </c>
      <c r="C76" s="445">
        <f>SUM(F175)</f>
        <v>0</v>
      </c>
      <c r="D76" s="446"/>
      <c r="E76" s="442"/>
      <c r="F76" s="439"/>
      <c r="G76" s="446"/>
      <c r="H76" s="439"/>
      <c r="I76" s="439">
        <f>SUM(F320)</f>
        <v>0</v>
      </c>
      <c r="J76" s="446"/>
      <c r="K76" s="444">
        <v>0</v>
      </c>
      <c r="L76" s="444">
        <v>0</v>
      </c>
      <c r="M76" s="446"/>
      <c r="N76" s="439">
        <f t="shared" si="3"/>
        <v>36000</v>
      </c>
      <c r="O76" s="439">
        <f t="shared" si="1"/>
        <v>0</v>
      </c>
    </row>
    <row r="77" spans="1:15" ht="67.5" x14ac:dyDescent="0.25">
      <c r="A77" s="443" t="s">
        <v>136</v>
      </c>
      <c r="B77" s="444">
        <v>9720</v>
      </c>
      <c r="C77" s="445">
        <f>SUM(F177)</f>
        <v>0</v>
      </c>
      <c r="D77" s="446"/>
      <c r="E77" s="442"/>
      <c r="F77" s="439"/>
      <c r="G77" s="446"/>
      <c r="H77" s="439"/>
      <c r="I77" s="439">
        <f>SUM(E323)</f>
        <v>0</v>
      </c>
      <c r="J77" s="446"/>
      <c r="K77" s="444">
        <v>0</v>
      </c>
      <c r="L77" s="444"/>
      <c r="M77" s="446"/>
      <c r="N77" s="439">
        <f t="shared" si="3"/>
        <v>9720</v>
      </c>
      <c r="O77" s="439">
        <f t="shared" si="1"/>
        <v>0</v>
      </c>
    </row>
    <row r="78" spans="1:15" ht="33.75" x14ac:dyDescent="0.25">
      <c r="A78" s="438" t="s">
        <v>1172</v>
      </c>
      <c r="B78" s="439">
        <f>SUM(B76:B77)</f>
        <v>45720</v>
      </c>
      <c r="C78" s="440">
        <f>SUM(C76:C77)</f>
        <v>0</v>
      </c>
      <c r="D78" s="441"/>
      <c r="E78" s="442">
        <v>0</v>
      </c>
      <c r="F78" s="439">
        <v>0</v>
      </c>
      <c r="G78" s="441"/>
      <c r="H78" s="439">
        <f>SUM(H76:H77)</f>
        <v>0</v>
      </c>
      <c r="I78" s="439">
        <f>SUM(I76:I77)</f>
        <v>0</v>
      </c>
      <c r="J78" s="441"/>
      <c r="K78" s="439">
        <f>SUM(K76:K77)</f>
        <v>0</v>
      </c>
      <c r="L78" s="439"/>
      <c r="M78" s="441"/>
      <c r="N78" s="439">
        <f t="shared" si="3"/>
        <v>45720</v>
      </c>
      <c r="O78" s="439">
        <f t="shared" si="1"/>
        <v>0</v>
      </c>
    </row>
    <row r="79" spans="1:15" ht="56.25" x14ac:dyDescent="0.25">
      <c r="A79" s="438" t="s">
        <v>1173</v>
      </c>
      <c r="B79" s="439">
        <f>B61+B62+B75+B78</f>
        <v>31000171</v>
      </c>
      <c r="C79" s="440">
        <f>C61+C62+C75+C78</f>
        <v>33889571.600000001</v>
      </c>
      <c r="D79" s="441"/>
      <c r="E79" s="442">
        <f>E61+E62+E75+E78</f>
        <v>16246599</v>
      </c>
      <c r="F79" s="442">
        <f>F61+F62+F75+F78</f>
        <v>15666480</v>
      </c>
      <c r="G79" s="441"/>
      <c r="H79" s="442">
        <f>H61+H62+H75+H78</f>
        <v>7879966</v>
      </c>
      <c r="I79" s="442">
        <f>I61+I62+I75+I78</f>
        <v>8977974</v>
      </c>
      <c r="J79" s="441"/>
      <c r="K79" s="442">
        <f>K61+K62+K75+K78</f>
        <v>18452208</v>
      </c>
      <c r="L79" s="442">
        <f>L61+L62+L75+L78</f>
        <v>26230380</v>
      </c>
      <c r="M79" s="441"/>
      <c r="N79" s="439">
        <f t="shared" si="3"/>
        <v>73578944</v>
      </c>
      <c r="O79" s="439">
        <f t="shared" si="1"/>
        <v>84764405.599999994</v>
      </c>
    </row>
    <row r="80" spans="1:15" ht="22.5" x14ac:dyDescent="0.25">
      <c r="A80" s="450" t="s">
        <v>1174</v>
      </c>
      <c r="B80" s="451">
        <f>[1]Támogatásfelosztás!$B$41+[1]Támogatásfelosztás!$B$61</f>
        <v>26824711.364496082</v>
      </c>
      <c r="C80" s="452">
        <f>SUM(B54)</f>
        <v>30442477.817607708</v>
      </c>
      <c r="D80" s="453"/>
      <c r="E80" s="454">
        <f>'[2]Csajág 12. hó'!$B$16</f>
        <v>12103358</v>
      </c>
      <c r="F80" s="451">
        <f>SUM(C54)</f>
        <v>11785153.812683972</v>
      </c>
      <c r="G80" s="453"/>
      <c r="H80" s="451">
        <f>'[3]Küngös 1.-12. hó'!$B$16</f>
        <v>7951214</v>
      </c>
      <c r="I80" s="451">
        <f>SUM(D54)</f>
        <v>7419765.4773347592</v>
      </c>
      <c r="J80" s="453"/>
      <c r="K80" s="451">
        <f>'[4]Akarattya 1.-12. hó'!$B$17</f>
        <v>13063717</v>
      </c>
      <c r="L80" s="451">
        <f>SUM(E54)</f>
        <v>13695882.892373562</v>
      </c>
      <c r="M80" s="453"/>
      <c r="N80" s="451">
        <f t="shared" si="3"/>
        <v>59943000.364496082</v>
      </c>
      <c r="O80" s="439">
        <f t="shared" si="1"/>
        <v>63343280</v>
      </c>
    </row>
    <row r="81" spans="1:15" ht="22.5" x14ac:dyDescent="0.25">
      <c r="A81" s="455" t="s">
        <v>1175</v>
      </c>
      <c r="B81" s="456">
        <v>0</v>
      </c>
      <c r="C81" s="457">
        <v>50000</v>
      </c>
      <c r="D81" s="458"/>
      <c r="E81" s="459">
        <v>0</v>
      </c>
      <c r="F81" s="456">
        <v>0</v>
      </c>
      <c r="G81" s="458"/>
      <c r="H81" s="456">
        <v>0</v>
      </c>
      <c r="I81" s="456">
        <v>0</v>
      </c>
      <c r="J81" s="458"/>
      <c r="K81" s="456">
        <v>0</v>
      </c>
      <c r="L81" s="456">
        <v>0</v>
      </c>
      <c r="M81" s="458"/>
      <c r="N81" s="456"/>
      <c r="O81" s="439">
        <f t="shared" si="1"/>
        <v>50000</v>
      </c>
    </row>
    <row r="82" spans="1:15" ht="33.75" x14ac:dyDescent="0.25">
      <c r="A82" s="455" t="s">
        <v>1260</v>
      </c>
      <c r="B82" s="456"/>
      <c r="C82" s="457">
        <f>SUM(I53)</f>
        <v>1931921.3379716349</v>
      </c>
      <c r="D82" s="458"/>
      <c r="E82" s="459"/>
      <c r="F82" s="456">
        <f>SUM(J53)</f>
        <v>1184668.7449826063</v>
      </c>
      <c r="G82" s="458"/>
      <c r="H82" s="456"/>
      <c r="I82" s="456">
        <f>SUM(K53)</f>
        <v>745850.61814289528</v>
      </c>
      <c r="J82" s="458"/>
      <c r="K82" s="456"/>
      <c r="L82" s="456">
        <f>SUM(L53)</f>
        <v>1376739.2989028632</v>
      </c>
      <c r="M82" s="458"/>
      <c r="N82" s="456"/>
      <c r="O82" s="439">
        <f t="shared" si="1"/>
        <v>5239180</v>
      </c>
    </row>
    <row r="83" spans="1:15" ht="45" x14ac:dyDescent="0.25">
      <c r="A83" s="443" t="s">
        <v>1323</v>
      </c>
      <c r="B83" s="444"/>
      <c r="C83" s="460">
        <v>-1923111</v>
      </c>
      <c r="D83" s="446"/>
      <c r="E83" s="447"/>
      <c r="F83" s="461">
        <v>61704</v>
      </c>
      <c r="G83" s="446"/>
      <c r="H83" s="444"/>
      <c r="I83" s="461">
        <v>605644</v>
      </c>
      <c r="J83" s="446"/>
      <c r="K83" s="444"/>
      <c r="L83" s="461">
        <v>919181</v>
      </c>
      <c r="M83" s="446"/>
      <c r="N83" s="444"/>
      <c r="O83" s="439">
        <f t="shared" si="1"/>
        <v>-336582</v>
      </c>
    </row>
    <row r="84" spans="1:15" ht="22.5" x14ac:dyDescent="0.25">
      <c r="A84" s="443" t="s">
        <v>1347</v>
      </c>
      <c r="B84" s="444"/>
      <c r="C84" s="461">
        <f>SUM(C79-C80-C81-C82)</f>
        <v>1465172.4444206583</v>
      </c>
      <c r="D84" s="444">
        <f t="shared" ref="D84:M84" si="4">SUM(D79-D80)</f>
        <v>0</v>
      </c>
      <c r="E84" s="444"/>
      <c r="F84" s="461">
        <f>SUM(F79-F80-F81-F82)</f>
        <v>2696657.4423334221</v>
      </c>
      <c r="G84" s="444">
        <f t="shared" si="4"/>
        <v>0</v>
      </c>
      <c r="H84" s="444"/>
      <c r="I84" s="461">
        <f>SUM(I79-I80-I81-I82)</f>
        <v>812357.90452234552</v>
      </c>
      <c r="J84" s="461">
        <f t="shared" ref="J84:L84" si="5">SUM(J79-J80-J81-J82)</f>
        <v>0</v>
      </c>
      <c r="K84" s="461"/>
      <c r="L84" s="461">
        <f t="shared" si="5"/>
        <v>11157757.808723575</v>
      </c>
      <c r="M84" s="444">
        <f t="shared" si="4"/>
        <v>0</v>
      </c>
      <c r="N84" s="444"/>
      <c r="O84" s="439">
        <f t="shared" si="1"/>
        <v>16131945.600000001</v>
      </c>
    </row>
    <row r="85" spans="1:15" ht="33.75" x14ac:dyDescent="0.25">
      <c r="A85" s="443" t="s">
        <v>1176</v>
      </c>
      <c r="B85" s="448"/>
      <c r="C85" s="462">
        <f>SUM(C83:C84)</f>
        <v>-457938.55557934172</v>
      </c>
      <c r="D85" s="463"/>
      <c r="E85" s="448"/>
      <c r="F85" s="462">
        <f>SUM(F83:F84)</f>
        <v>2758361.4423334221</v>
      </c>
      <c r="G85" s="463"/>
      <c r="H85" s="448"/>
      <c r="I85" s="462">
        <f>SUM(I83:I84)</f>
        <v>1418001.9045223454</v>
      </c>
      <c r="J85" s="463"/>
      <c r="K85" s="449"/>
      <c r="L85" s="462">
        <f>SUM(L83:L84)</f>
        <v>12076938.808723575</v>
      </c>
      <c r="M85" s="463"/>
      <c r="N85" s="449"/>
      <c r="O85" s="462">
        <f t="shared" si="1"/>
        <v>15795363.600000001</v>
      </c>
    </row>
    <row r="86" spans="1:15" x14ac:dyDescent="0.25">
      <c r="A86" s="464"/>
      <c r="B86" s="465"/>
      <c r="C86" s="466"/>
      <c r="D86" s="463"/>
      <c r="E86" s="465"/>
      <c r="F86" s="466"/>
      <c r="G86" s="463"/>
      <c r="H86" s="465"/>
      <c r="I86" s="466"/>
      <c r="J86" s="463"/>
      <c r="K86" s="467"/>
      <c r="L86" s="466"/>
      <c r="M86" s="463"/>
      <c r="N86" s="467"/>
      <c r="O86" s="468"/>
    </row>
    <row r="87" spans="1:15" x14ac:dyDescent="0.25">
      <c r="A87" s="464"/>
      <c r="B87" s="465"/>
      <c r="C87" s="466"/>
      <c r="D87" s="463"/>
      <c r="E87" s="465"/>
      <c r="F87" s="466"/>
      <c r="G87" s="463"/>
      <c r="H87" s="465"/>
      <c r="I87" s="466"/>
      <c r="J87" s="463"/>
      <c r="K87" s="467"/>
      <c r="L87" s="466"/>
      <c r="M87" s="463"/>
      <c r="N87" s="467"/>
      <c r="O87" s="468"/>
    </row>
    <row r="88" spans="1:15" ht="15.75" hidden="1" thickBot="1" x14ac:dyDescent="0.3">
      <c r="A88" s="469"/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</row>
    <row r="89" spans="1:15" ht="15.75" hidden="1" thickBot="1" x14ac:dyDescent="0.3">
      <c r="A89" s="698" t="s">
        <v>1177</v>
      </c>
      <c r="B89" s="699"/>
      <c r="C89" s="699"/>
      <c r="D89" s="699"/>
      <c r="E89" s="699"/>
      <c r="F89" s="699"/>
      <c r="G89" s="700"/>
      <c r="H89" s="501"/>
      <c r="I89" s="501"/>
      <c r="J89" s="501"/>
      <c r="K89" s="501"/>
      <c r="L89" s="501"/>
      <c r="M89" s="393"/>
      <c r="N89" s="393"/>
      <c r="O89" s="393"/>
    </row>
    <row r="90" spans="1:15" s="315" customFormat="1" hidden="1" x14ac:dyDescent="0.25">
      <c r="A90" s="470"/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1"/>
      <c r="N90" s="471"/>
      <c r="O90" s="471"/>
    </row>
    <row r="91" spans="1:15" hidden="1" x14ac:dyDescent="0.25">
      <c r="A91" s="713" t="s">
        <v>910</v>
      </c>
      <c r="B91" s="713"/>
      <c r="C91" s="713"/>
      <c r="D91" s="713"/>
      <c r="E91" s="713"/>
      <c r="F91" s="713"/>
      <c r="G91" s="713"/>
      <c r="H91" s="472"/>
      <c r="I91" s="393"/>
      <c r="J91" s="393"/>
      <c r="K91" s="393"/>
      <c r="L91" s="393"/>
      <c r="M91" s="393"/>
      <c r="N91" s="393"/>
      <c r="O91" s="393"/>
    </row>
    <row r="92" spans="1:15" hidden="1" x14ac:dyDescent="0.25">
      <c r="A92" s="473" t="s">
        <v>195</v>
      </c>
      <c r="B92" s="473">
        <v>511011</v>
      </c>
      <c r="C92" s="473" t="s">
        <v>877</v>
      </c>
      <c r="D92" s="474"/>
      <c r="E92" s="474"/>
      <c r="F92" s="475">
        <f>SUM(E93:E107)</f>
        <v>23515560</v>
      </c>
      <c r="G92" s="474"/>
      <c r="H92" s="474"/>
      <c r="I92" s="393"/>
      <c r="J92" s="393"/>
      <c r="K92" s="393"/>
      <c r="L92" s="393"/>
      <c r="M92" s="393"/>
      <c r="N92" s="393"/>
      <c r="O92" s="393"/>
    </row>
    <row r="93" spans="1:15" hidden="1" x14ac:dyDescent="0.25">
      <c r="A93" s="393"/>
      <c r="B93" s="393"/>
      <c r="C93" s="476" t="s">
        <v>1178</v>
      </c>
      <c r="D93" s="477">
        <v>521200</v>
      </c>
      <c r="E93" s="477">
        <f>SUM(D93*1)</f>
        <v>521200</v>
      </c>
      <c r="F93" s="474"/>
      <c r="G93" s="474"/>
      <c r="H93" s="474"/>
      <c r="I93" s="393"/>
      <c r="J93" s="393"/>
      <c r="K93" s="393"/>
      <c r="L93" s="393"/>
      <c r="M93" s="393"/>
      <c r="N93" s="393"/>
      <c r="O93" s="393"/>
    </row>
    <row r="94" spans="1:15" hidden="1" x14ac:dyDescent="0.25">
      <c r="A94" s="393"/>
      <c r="B94" s="393"/>
      <c r="C94" s="476"/>
      <c r="D94" s="477">
        <v>521200</v>
      </c>
      <c r="E94" s="477">
        <f>SUM(D94*2)</f>
        <v>1042400</v>
      </c>
      <c r="F94" s="474"/>
      <c r="G94" s="474"/>
      <c r="H94" s="474"/>
      <c r="I94" s="393"/>
      <c r="J94" s="393"/>
      <c r="K94" s="393"/>
      <c r="L94" s="393"/>
      <c r="M94" s="393"/>
      <c r="N94" s="393"/>
      <c r="O94" s="393"/>
    </row>
    <row r="95" spans="1:15" hidden="1" x14ac:dyDescent="0.25">
      <c r="A95" s="393"/>
      <c r="B95" s="393"/>
      <c r="C95" s="476"/>
      <c r="D95" s="477">
        <v>625440</v>
      </c>
      <c r="E95" s="477">
        <f>SUM(D95*9)</f>
        <v>5628960</v>
      </c>
      <c r="F95" s="474"/>
      <c r="G95" s="474"/>
      <c r="H95" s="474"/>
      <c r="I95" s="393"/>
      <c r="J95" s="393"/>
      <c r="K95" s="393"/>
      <c r="L95" s="393"/>
      <c r="M95" s="393"/>
      <c r="N95" s="393"/>
      <c r="O95" s="393"/>
    </row>
    <row r="96" spans="1:15" hidden="1" x14ac:dyDescent="0.25">
      <c r="A96" s="393"/>
      <c r="B96" s="393"/>
      <c r="C96" s="393" t="s">
        <v>10</v>
      </c>
      <c r="D96" s="474">
        <v>262800</v>
      </c>
      <c r="E96" s="474">
        <f>SUM(D96*1)</f>
        <v>262800</v>
      </c>
      <c r="F96" s="474"/>
      <c r="G96" s="474"/>
      <c r="H96" s="474"/>
      <c r="I96" s="393"/>
      <c r="J96" s="393"/>
      <c r="K96" s="393"/>
      <c r="L96" s="393"/>
      <c r="M96" s="393"/>
      <c r="N96" s="393"/>
      <c r="O96" s="393"/>
    </row>
    <row r="97" spans="1:15" hidden="1" x14ac:dyDescent="0.25">
      <c r="A97" s="393"/>
      <c r="B97" s="393"/>
      <c r="C97" s="393"/>
      <c r="D97" s="474">
        <v>262800</v>
      </c>
      <c r="E97" s="474">
        <f>SUM(D97*2)</f>
        <v>525600</v>
      </c>
      <c r="F97" s="474"/>
      <c r="G97" s="474"/>
      <c r="H97" s="474"/>
      <c r="I97" s="393"/>
      <c r="J97" s="393"/>
      <c r="K97" s="393"/>
      <c r="L97" s="393"/>
      <c r="M97" s="393"/>
      <c r="N97" s="393"/>
      <c r="O97" s="393"/>
    </row>
    <row r="98" spans="1:15" hidden="1" x14ac:dyDescent="0.25">
      <c r="A98" s="393"/>
      <c r="B98" s="393"/>
      <c r="C98" s="393"/>
      <c r="D98" s="474">
        <v>315400</v>
      </c>
      <c r="E98" s="474">
        <f>SUM(D98*9)</f>
        <v>2838600</v>
      </c>
      <c r="F98" s="474"/>
      <c r="G98" s="474"/>
      <c r="H98" s="474"/>
      <c r="I98" s="393"/>
      <c r="J98" s="393"/>
      <c r="K98" s="393"/>
      <c r="L98" s="393"/>
      <c r="M98" s="393"/>
      <c r="N98" s="393"/>
      <c r="O98" s="393"/>
    </row>
    <row r="99" spans="1:15" hidden="1" x14ac:dyDescent="0.25">
      <c r="A99" s="393"/>
      <c r="B99" s="393"/>
      <c r="C99" s="393" t="s">
        <v>11</v>
      </c>
      <c r="D99" s="474">
        <v>300000</v>
      </c>
      <c r="E99" s="474">
        <f>SUM(D99*1)</f>
        <v>300000</v>
      </c>
      <c r="F99" s="474"/>
      <c r="G99" s="474"/>
      <c r="H99" s="474"/>
      <c r="I99" s="393"/>
      <c r="J99" s="393"/>
      <c r="K99" s="393"/>
      <c r="L99" s="393"/>
      <c r="M99" s="393"/>
      <c r="N99" s="393"/>
      <c r="O99" s="393"/>
    </row>
    <row r="100" spans="1:15" hidden="1" x14ac:dyDescent="0.25">
      <c r="A100" s="393"/>
      <c r="B100" s="393"/>
      <c r="C100" s="393"/>
      <c r="D100" s="474">
        <v>300000</v>
      </c>
      <c r="E100" s="474">
        <f>SUM(D100*2)</f>
        <v>600000</v>
      </c>
      <c r="F100" s="474"/>
      <c r="G100" s="474"/>
      <c r="H100" s="474"/>
      <c r="I100" s="393"/>
      <c r="J100" s="393"/>
      <c r="K100" s="393"/>
      <c r="L100" s="393"/>
      <c r="M100" s="393"/>
      <c r="N100" s="393"/>
      <c r="O100" s="393"/>
    </row>
    <row r="101" spans="1:15" hidden="1" x14ac:dyDescent="0.25">
      <c r="A101" s="393"/>
      <c r="B101" s="393"/>
      <c r="C101" s="393"/>
      <c r="D101" s="474">
        <v>360000</v>
      </c>
      <c r="E101" s="474">
        <f>SUM(D101*9)</f>
        <v>3240000</v>
      </c>
      <c r="F101" s="474"/>
      <c r="G101" s="474"/>
      <c r="H101" s="474"/>
      <c r="I101" s="393"/>
      <c r="J101" s="393"/>
      <c r="K101" s="393"/>
      <c r="L101" s="393"/>
      <c r="M101" s="393"/>
      <c r="N101" s="393"/>
      <c r="O101" s="393"/>
    </row>
    <row r="102" spans="1:15" hidden="1" x14ac:dyDescent="0.25">
      <c r="A102" s="393"/>
      <c r="B102" s="393"/>
      <c r="C102" s="393" t="s">
        <v>1306</v>
      </c>
      <c r="D102" s="474">
        <v>300000</v>
      </c>
      <c r="E102" s="474">
        <f>SUM(D102*1)</f>
        <v>300000</v>
      </c>
      <c r="F102" s="474"/>
      <c r="G102" s="474"/>
      <c r="H102" s="474"/>
      <c r="I102" s="393"/>
      <c r="J102" s="393"/>
      <c r="K102" s="393"/>
      <c r="L102" s="393"/>
      <c r="M102" s="393"/>
      <c r="N102" s="393"/>
      <c r="O102" s="393"/>
    </row>
    <row r="103" spans="1:15" hidden="1" x14ac:dyDescent="0.25">
      <c r="A103" s="393"/>
      <c r="B103" s="393"/>
      <c r="C103" s="393"/>
      <c r="D103" s="474">
        <v>300000</v>
      </c>
      <c r="E103" s="474">
        <f>SUM(D103*2)</f>
        <v>600000</v>
      </c>
      <c r="F103" s="474"/>
      <c r="G103" s="474"/>
      <c r="H103" s="474"/>
      <c r="I103" s="393"/>
      <c r="J103" s="393"/>
      <c r="K103" s="393"/>
      <c r="L103" s="393"/>
      <c r="M103" s="393"/>
      <c r="N103" s="393"/>
      <c r="O103" s="393"/>
    </row>
    <row r="104" spans="1:15" hidden="1" x14ac:dyDescent="0.25">
      <c r="A104" s="393"/>
      <c r="B104" s="393"/>
      <c r="C104" s="393"/>
      <c r="D104" s="474">
        <v>360000</v>
      </c>
      <c r="E104" s="474">
        <f>SUM(D104*9)</f>
        <v>3240000</v>
      </c>
      <c r="F104" s="474"/>
      <c r="G104" s="474"/>
      <c r="H104" s="474"/>
      <c r="I104" s="393"/>
      <c r="J104" s="393"/>
      <c r="K104" s="393"/>
      <c r="L104" s="393"/>
      <c r="M104" s="393"/>
      <c r="N104" s="393"/>
      <c r="O104" s="393"/>
    </row>
    <row r="105" spans="1:15" hidden="1" x14ac:dyDescent="0.25">
      <c r="A105" s="393"/>
      <c r="B105" s="393"/>
      <c r="C105" s="393" t="s">
        <v>828</v>
      </c>
      <c r="D105" s="474">
        <v>320000</v>
      </c>
      <c r="E105" s="474">
        <f>SUM(D105*1)</f>
        <v>320000</v>
      </c>
      <c r="F105" s="474"/>
      <c r="G105" s="474"/>
      <c r="H105" s="474"/>
      <c r="I105" s="393"/>
      <c r="J105" s="393"/>
      <c r="K105" s="393"/>
      <c r="L105" s="393"/>
      <c r="M105" s="393"/>
      <c r="N105" s="393"/>
      <c r="O105" s="393"/>
    </row>
    <row r="106" spans="1:15" hidden="1" x14ac:dyDescent="0.25">
      <c r="A106" s="393"/>
      <c r="B106" s="393"/>
      <c r="C106" s="393"/>
      <c r="D106" s="474">
        <v>320000</v>
      </c>
      <c r="E106" s="474">
        <f>SUM(D106*2)</f>
        <v>640000</v>
      </c>
      <c r="F106" s="474"/>
      <c r="G106" s="474"/>
      <c r="H106" s="474"/>
      <c r="I106" s="393"/>
      <c r="J106" s="393"/>
      <c r="K106" s="393"/>
      <c r="L106" s="393"/>
      <c r="M106" s="393"/>
      <c r="N106" s="393"/>
      <c r="O106" s="393"/>
    </row>
    <row r="107" spans="1:15" hidden="1" x14ac:dyDescent="0.25">
      <c r="A107" s="393"/>
      <c r="B107" s="393"/>
      <c r="C107" s="393"/>
      <c r="D107" s="474">
        <v>384000</v>
      </c>
      <c r="E107" s="474">
        <f>SUM(D107*9)</f>
        <v>3456000</v>
      </c>
      <c r="F107" s="474"/>
      <c r="G107" s="474"/>
      <c r="H107" s="474"/>
      <c r="I107" s="393"/>
      <c r="J107" s="393"/>
      <c r="K107" s="393"/>
      <c r="L107" s="393"/>
      <c r="M107" s="393"/>
      <c r="N107" s="393"/>
      <c r="O107" s="393"/>
    </row>
    <row r="108" spans="1:15" hidden="1" x14ac:dyDescent="0.25">
      <c r="A108" s="473" t="s">
        <v>197</v>
      </c>
      <c r="B108" s="473">
        <v>511021</v>
      </c>
      <c r="C108" s="473" t="s">
        <v>23</v>
      </c>
      <c r="D108" s="475"/>
      <c r="E108" s="475"/>
      <c r="F108" s="475">
        <v>0</v>
      </c>
      <c r="G108" s="474"/>
      <c r="H108" s="474"/>
      <c r="I108" s="393"/>
      <c r="J108" s="393"/>
      <c r="K108" s="393"/>
      <c r="L108" s="393"/>
      <c r="M108" s="393"/>
      <c r="N108" s="393"/>
      <c r="O108" s="393"/>
    </row>
    <row r="109" spans="1:15" hidden="1" x14ac:dyDescent="0.25">
      <c r="A109" s="473" t="s">
        <v>204</v>
      </c>
      <c r="B109" s="473">
        <v>511061</v>
      </c>
      <c r="C109" s="473" t="s">
        <v>16</v>
      </c>
      <c r="D109" s="474"/>
      <c r="E109" s="474"/>
      <c r="F109" s="475">
        <f>SUM(E110)</f>
        <v>2501760</v>
      </c>
      <c r="G109" s="474"/>
      <c r="H109" s="474"/>
      <c r="I109" s="393"/>
      <c r="J109" s="393"/>
      <c r="K109" s="393"/>
      <c r="L109" s="393"/>
      <c r="M109" s="393"/>
      <c r="N109" s="393"/>
      <c r="O109" s="393"/>
    </row>
    <row r="110" spans="1:15" hidden="1" x14ac:dyDescent="0.25">
      <c r="A110" s="393"/>
      <c r="B110" s="393"/>
      <c r="C110" s="476" t="s">
        <v>1178</v>
      </c>
      <c r="D110" s="477">
        <f>SUM(D95)</f>
        <v>625440</v>
      </c>
      <c r="E110" s="477">
        <f>SUM(D110*4)</f>
        <v>2501760</v>
      </c>
      <c r="F110" s="474"/>
      <c r="G110" s="474"/>
      <c r="H110" s="474"/>
      <c r="I110" s="393"/>
      <c r="J110" s="393"/>
      <c r="K110" s="393"/>
      <c r="L110" s="393"/>
      <c r="M110" s="393"/>
      <c r="N110" s="393"/>
      <c r="O110" s="393"/>
    </row>
    <row r="111" spans="1:15" hidden="1" x14ac:dyDescent="0.25">
      <c r="A111" s="473" t="s">
        <v>206</v>
      </c>
      <c r="B111" s="473">
        <v>511071</v>
      </c>
      <c r="C111" s="473" t="s">
        <v>205</v>
      </c>
      <c r="D111" s="475"/>
      <c r="E111" s="475"/>
      <c r="F111" s="475">
        <f>SUM(D112:D116)</f>
        <v>1000000</v>
      </c>
      <c r="G111" s="474"/>
      <c r="H111" s="474"/>
      <c r="I111" s="393"/>
      <c r="J111" s="393"/>
      <c r="K111" s="393"/>
      <c r="L111" s="393"/>
      <c r="M111" s="393"/>
      <c r="N111" s="393"/>
      <c r="O111" s="393"/>
    </row>
    <row r="112" spans="1:15" hidden="1" x14ac:dyDescent="0.25">
      <c r="A112" s="393"/>
      <c r="B112" s="393"/>
      <c r="C112" s="476" t="s">
        <v>1178</v>
      </c>
      <c r="D112" s="477">
        <v>200000</v>
      </c>
      <c r="E112" s="474"/>
      <c r="F112" s="474"/>
      <c r="G112" s="474"/>
      <c r="H112" s="474"/>
      <c r="I112" s="393"/>
      <c r="J112" s="393"/>
      <c r="K112" s="393"/>
      <c r="L112" s="393"/>
      <c r="M112" s="393"/>
      <c r="N112" s="393"/>
      <c r="O112" s="393"/>
    </row>
    <row r="113" spans="1:15" hidden="1" x14ac:dyDescent="0.25">
      <c r="A113" s="393"/>
      <c r="B113" s="393"/>
      <c r="C113" s="393" t="s">
        <v>10</v>
      </c>
      <c r="D113" s="474">
        <v>200000</v>
      </c>
      <c r="E113" s="474"/>
      <c r="F113" s="474"/>
      <c r="G113" s="474"/>
      <c r="H113" s="474"/>
      <c r="I113" s="393"/>
      <c r="J113" s="393"/>
      <c r="K113" s="393"/>
      <c r="L113" s="393"/>
      <c r="M113" s="393"/>
      <c r="N113" s="393"/>
      <c r="O113" s="393"/>
    </row>
    <row r="114" spans="1:15" hidden="1" x14ac:dyDescent="0.25">
      <c r="A114" s="393"/>
      <c r="B114" s="393"/>
      <c r="C114" s="393" t="s">
        <v>11</v>
      </c>
      <c r="D114" s="474">
        <v>200000</v>
      </c>
      <c r="E114" s="474"/>
      <c r="F114" s="474"/>
      <c r="G114" s="474"/>
      <c r="H114" s="474"/>
      <c r="I114" s="393"/>
      <c r="J114" s="393"/>
      <c r="K114" s="393"/>
      <c r="L114" s="393"/>
      <c r="M114" s="393"/>
      <c r="N114" s="393"/>
      <c r="O114" s="393"/>
    </row>
    <row r="115" spans="1:15" hidden="1" x14ac:dyDescent="0.25">
      <c r="A115" s="393"/>
      <c r="B115" s="393"/>
      <c r="C115" s="393" t="s">
        <v>1307</v>
      </c>
      <c r="D115" s="474">
        <v>200000</v>
      </c>
      <c r="E115" s="474"/>
      <c r="F115" s="474"/>
      <c r="G115" s="474"/>
      <c r="H115" s="474"/>
      <c r="I115" s="393"/>
      <c r="J115" s="393"/>
      <c r="K115" s="393"/>
      <c r="L115" s="393"/>
      <c r="M115" s="393"/>
      <c r="N115" s="393"/>
      <c r="O115" s="393"/>
    </row>
    <row r="116" spans="1:15" hidden="1" x14ac:dyDescent="0.25">
      <c r="A116" s="393"/>
      <c r="B116" s="393"/>
      <c r="C116" s="393" t="s">
        <v>828</v>
      </c>
      <c r="D116" s="474">
        <v>200000</v>
      </c>
      <c r="E116" s="474"/>
      <c r="F116" s="474"/>
      <c r="G116" s="474"/>
      <c r="H116" s="474"/>
      <c r="I116" s="393"/>
      <c r="J116" s="393"/>
      <c r="K116" s="393"/>
      <c r="L116" s="393"/>
      <c r="M116" s="393"/>
      <c r="N116" s="393"/>
      <c r="O116" s="393"/>
    </row>
    <row r="117" spans="1:15" hidden="1" x14ac:dyDescent="0.25">
      <c r="A117" s="473" t="s">
        <v>208</v>
      </c>
      <c r="B117" s="473">
        <v>511091</v>
      </c>
      <c r="C117" s="473" t="s">
        <v>34</v>
      </c>
      <c r="D117" s="475"/>
      <c r="E117" s="475"/>
      <c r="F117" s="475">
        <f>SUM(E118:E119)</f>
        <v>216000</v>
      </c>
      <c r="G117" s="474"/>
      <c r="H117" s="474"/>
      <c r="I117" s="393"/>
      <c r="J117" s="393"/>
      <c r="K117" s="393"/>
      <c r="L117" s="393"/>
      <c r="M117" s="393"/>
      <c r="N117" s="393"/>
      <c r="O117" s="393"/>
    </row>
    <row r="118" spans="1:15" hidden="1" x14ac:dyDescent="0.25">
      <c r="A118" s="393"/>
      <c r="B118" s="393"/>
      <c r="C118" s="393" t="s">
        <v>828</v>
      </c>
      <c r="D118" s="474">
        <v>9000</v>
      </c>
      <c r="E118" s="474">
        <f>SUM(D118*12)</f>
        <v>108000</v>
      </c>
      <c r="F118" s="474"/>
      <c r="G118" s="474"/>
      <c r="H118" s="474"/>
      <c r="I118" s="393"/>
      <c r="J118" s="393"/>
      <c r="K118" s="393"/>
      <c r="L118" s="393"/>
      <c r="M118" s="393"/>
      <c r="N118" s="393"/>
      <c r="O118" s="393"/>
    </row>
    <row r="119" spans="1:15" hidden="1" x14ac:dyDescent="0.25">
      <c r="A119" s="393"/>
      <c r="B119" s="393"/>
      <c r="C119" s="393" t="s">
        <v>1306</v>
      </c>
      <c r="D119" s="474">
        <v>9000</v>
      </c>
      <c r="E119" s="474">
        <f>SUM(D119*12)</f>
        <v>108000</v>
      </c>
      <c r="F119" s="474"/>
      <c r="G119" s="474"/>
      <c r="H119" s="474"/>
      <c r="I119" s="393"/>
      <c r="J119" s="393"/>
      <c r="K119" s="393"/>
      <c r="L119" s="393"/>
      <c r="M119" s="393"/>
      <c r="N119" s="393"/>
      <c r="O119" s="393"/>
    </row>
    <row r="120" spans="1:15" hidden="1" x14ac:dyDescent="0.25">
      <c r="A120" s="473" t="s">
        <v>210</v>
      </c>
      <c r="B120" s="473">
        <v>5111101</v>
      </c>
      <c r="C120" s="473" t="s">
        <v>878</v>
      </c>
      <c r="D120" s="475"/>
      <c r="E120" s="475"/>
      <c r="F120" s="475">
        <f>SUM(D121:D123)</f>
        <v>150000</v>
      </c>
      <c r="G120" s="474"/>
      <c r="H120" s="474"/>
      <c r="I120" s="393"/>
      <c r="J120" s="393"/>
      <c r="K120" s="393"/>
      <c r="L120" s="393"/>
      <c r="M120" s="393"/>
      <c r="N120" s="393"/>
      <c r="O120" s="393"/>
    </row>
    <row r="121" spans="1:15" hidden="1" x14ac:dyDescent="0.25">
      <c r="A121" s="393"/>
      <c r="B121" s="393"/>
      <c r="C121" s="393" t="s">
        <v>1179</v>
      </c>
      <c r="D121" s="474">
        <v>50000</v>
      </c>
      <c r="E121" s="474"/>
      <c r="F121" s="474"/>
      <c r="G121" s="474"/>
      <c r="H121" s="474"/>
      <c r="I121" s="393"/>
      <c r="J121" s="393"/>
      <c r="K121" s="393"/>
      <c r="L121" s="393"/>
      <c r="M121" s="393"/>
      <c r="N121" s="393"/>
      <c r="O121" s="393"/>
    </row>
    <row r="122" spans="1:15" hidden="1" x14ac:dyDescent="0.25">
      <c r="A122" s="393"/>
      <c r="B122" s="393"/>
      <c r="C122" s="393" t="s">
        <v>10</v>
      </c>
      <c r="D122" s="474">
        <v>50000</v>
      </c>
      <c r="E122" s="474"/>
      <c r="F122" s="474"/>
      <c r="G122" s="474"/>
      <c r="H122" s="474"/>
      <c r="I122" s="393"/>
      <c r="J122" s="393"/>
      <c r="K122" s="393"/>
      <c r="L122" s="393"/>
      <c r="M122" s="393"/>
      <c r="N122" s="393"/>
      <c r="O122" s="393"/>
    </row>
    <row r="123" spans="1:15" hidden="1" x14ac:dyDescent="0.25">
      <c r="A123" s="393"/>
      <c r="B123" s="393"/>
      <c r="C123" s="393" t="s">
        <v>1306</v>
      </c>
      <c r="D123" s="474">
        <v>50000</v>
      </c>
      <c r="E123" s="474"/>
      <c r="F123" s="474"/>
      <c r="G123" s="474"/>
      <c r="H123" s="474"/>
      <c r="I123" s="393"/>
      <c r="J123" s="393"/>
      <c r="K123" s="393"/>
      <c r="L123" s="393"/>
      <c r="M123" s="393"/>
      <c r="N123" s="393"/>
      <c r="O123" s="393"/>
    </row>
    <row r="124" spans="1:15" hidden="1" x14ac:dyDescent="0.25">
      <c r="A124" s="478" t="s">
        <v>912</v>
      </c>
      <c r="B124" s="491"/>
      <c r="C124" s="487"/>
      <c r="D124" s="489"/>
      <c r="E124" s="489"/>
      <c r="F124" s="489"/>
      <c r="G124" s="479">
        <f>SUM(F92:F123)</f>
        <v>27383320</v>
      </c>
      <c r="H124" s="480"/>
      <c r="I124" s="481"/>
      <c r="J124" s="481"/>
      <c r="K124" s="393"/>
      <c r="L124" s="393"/>
      <c r="M124" s="393"/>
      <c r="N124" s="393"/>
      <c r="O124" s="393"/>
    </row>
    <row r="125" spans="1:15" hidden="1" x14ac:dyDescent="0.25">
      <c r="A125" s="473" t="s">
        <v>228</v>
      </c>
      <c r="B125" s="393"/>
      <c r="C125" s="473" t="s">
        <v>913</v>
      </c>
      <c r="D125" s="474"/>
      <c r="E125" s="474"/>
      <c r="F125" s="475">
        <f>SUM(E126:E134)</f>
        <v>3503251.5999999996</v>
      </c>
      <c r="G125" s="475"/>
      <c r="H125" s="474"/>
      <c r="I125" s="393"/>
      <c r="J125" s="393"/>
      <c r="K125" s="393"/>
      <c r="L125" s="393"/>
      <c r="M125" s="393"/>
      <c r="N125" s="393"/>
      <c r="O125" s="393"/>
    </row>
    <row r="126" spans="1:15" hidden="1" x14ac:dyDescent="0.25">
      <c r="A126" s="473" t="s">
        <v>228</v>
      </c>
      <c r="B126" s="393">
        <v>5231</v>
      </c>
      <c r="C126" s="393" t="s">
        <v>1180</v>
      </c>
      <c r="D126" s="474"/>
      <c r="E126" s="474">
        <f>SUM(D127:D133)</f>
        <v>3461251.5999999996</v>
      </c>
      <c r="F126" s="474"/>
      <c r="G126" s="474"/>
      <c r="H126" s="474"/>
      <c r="I126" s="393"/>
      <c r="J126" s="393"/>
      <c r="K126" s="393"/>
      <c r="L126" s="393"/>
      <c r="M126" s="393"/>
      <c r="N126" s="393"/>
      <c r="O126" s="393"/>
    </row>
    <row r="127" spans="1:15" hidden="1" x14ac:dyDescent="0.25">
      <c r="A127" s="393"/>
      <c r="B127" s="640">
        <v>0.13</v>
      </c>
      <c r="C127" s="474">
        <f>SUM(E97+E98+E100+E101+E103+E104+E106+E107)</f>
        <v>15140200</v>
      </c>
      <c r="D127" s="474">
        <f>SUM(C127*0.13)</f>
        <v>1968226</v>
      </c>
      <c r="E127" s="474"/>
      <c r="F127" s="474"/>
      <c r="G127" s="474"/>
      <c r="H127" s="474"/>
      <c r="I127" s="393"/>
      <c r="J127" s="393"/>
      <c r="K127" s="393"/>
      <c r="L127" s="393"/>
      <c r="M127" s="393"/>
      <c r="N127" s="393"/>
      <c r="O127" s="393"/>
    </row>
    <row r="128" spans="1:15" hidden="1" x14ac:dyDescent="0.25">
      <c r="A128" s="393"/>
      <c r="B128" s="485">
        <v>0.155</v>
      </c>
      <c r="C128" s="474">
        <f>SUM(E96+E99+E102+E105)</f>
        <v>1182800</v>
      </c>
      <c r="D128" s="474">
        <f>SUM(C128*0.155)</f>
        <v>183334</v>
      </c>
      <c r="E128" s="474"/>
      <c r="F128" s="474"/>
      <c r="G128" s="474"/>
      <c r="H128" s="474"/>
      <c r="I128" s="393"/>
      <c r="J128" s="393"/>
      <c r="K128" s="393"/>
      <c r="L128" s="393"/>
      <c r="M128" s="393"/>
      <c r="N128" s="393"/>
      <c r="O128" s="393"/>
    </row>
    <row r="129" spans="1:15" hidden="1" x14ac:dyDescent="0.25">
      <c r="A129" s="474">
        <f>SUM(E94+E95)</f>
        <v>6671360</v>
      </c>
      <c r="B129" s="640">
        <v>0.13</v>
      </c>
      <c r="C129" s="482" t="s">
        <v>1201</v>
      </c>
      <c r="D129" s="483">
        <f>SUM(A129*0.13)</f>
        <v>867276.80000000005</v>
      </c>
      <c r="E129" s="474"/>
      <c r="F129" s="474"/>
      <c r="G129" s="474"/>
      <c r="H129" s="474"/>
      <c r="I129" s="393"/>
      <c r="J129" s="393"/>
      <c r="K129" s="393"/>
      <c r="L129" s="393"/>
      <c r="M129" s="393"/>
      <c r="N129" s="393"/>
      <c r="O129" s="393"/>
    </row>
    <row r="130" spans="1:15" hidden="1" x14ac:dyDescent="0.25">
      <c r="A130" s="393"/>
      <c r="B130" s="485">
        <v>0.155</v>
      </c>
      <c r="C130" s="482" t="s">
        <v>1201</v>
      </c>
      <c r="D130" s="483">
        <f>SUM(E93*0.155)</f>
        <v>80786</v>
      </c>
      <c r="E130" s="474"/>
      <c r="F130" s="474"/>
      <c r="G130" s="474"/>
      <c r="H130" s="474"/>
      <c r="I130" s="393"/>
      <c r="J130" s="393"/>
      <c r="K130" s="393"/>
      <c r="L130" s="393"/>
      <c r="M130" s="393"/>
      <c r="N130" s="393"/>
      <c r="O130" s="393"/>
    </row>
    <row r="131" spans="1:15" hidden="1" x14ac:dyDescent="0.25">
      <c r="A131" s="393"/>
      <c r="B131" s="640">
        <v>0.13</v>
      </c>
      <c r="C131" s="482" t="s">
        <v>16</v>
      </c>
      <c r="D131" s="483">
        <f>SUM(E110*0.13)</f>
        <v>325228.79999999999</v>
      </c>
      <c r="E131" s="474"/>
      <c r="F131" s="474"/>
      <c r="G131" s="474"/>
      <c r="H131" s="474"/>
      <c r="I131" s="393"/>
      <c r="J131" s="393"/>
      <c r="K131" s="393"/>
      <c r="L131" s="393"/>
      <c r="M131" s="393"/>
      <c r="N131" s="393"/>
      <c r="O131" s="393"/>
    </row>
    <row r="132" spans="1:15" hidden="1" x14ac:dyDescent="0.25">
      <c r="A132" s="393"/>
      <c r="B132" s="640">
        <v>0.13</v>
      </c>
      <c r="C132" s="476" t="s">
        <v>1202</v>
      </c>
      <c r="D132" s="477">
        <f>SUM(D112*0.13)</f>
        <v>26000</v>
      </c>
      <c r="E132" s="474"/>
      <c r="F132" s="474"/>
      <c r="G132" s="474"/>
      <c r="H132" s="474"/>
      <c r="I132" s="393"/>
      <c r="J132" s="393"/>
      <c r="K132" s="393"/>
      <c r="L132" s="393"/>
      <c r="M132" s="393"/>
      <c r="N132" s="393"/>
      <c r="O132" s="393"/>
    </row>
    <row r="133" spans="1:15" hidden="1" x14ac:dyDescent="0.25">
      <c r="A133" s="393"/>
      <c r="B133" s="393"/>
      <c r="C133" s="485" t="s">
        <v>1181</v>
      </c>
      <c r="D133" s="594">
        <f>SUM(80000*0.13)</f>
        <v>10400</v>
      </c>
      <c r="E133" s="474"/>
      <c r="F133" s="474"/>
      <c r="G133" s="474"/>
      <c r="H133" s="474"/>
      <c r="I133" s="393"/>
      <c r="J133" s="393"/>
      <c r="K133" s="393"/>
      <c r="L133" s="393"/>
      <c r="M133" s="393"/>
      <c r="N133" s="393"/>
      <c r="O133" s="393"/>
    </row>
    <row r="134" spans="1:15" hidden="1" x14ac:dyDescent="0.25">
      <c r="A134" s="393"/>
      <c r="B134" s="393">
        <v>5237</v>
      </c>
      <c r="C134" s="393" t="s">
        <v>914</v>
      </c>
      <c r="D134" s="474"/>
      <c r="E134" s="474">
        <f>SUM(D135:D136)</f>
        <v>42000</v>
      </c>
      <c r="F134" s="474"/>
      <c r="G134" s="474"/>
      <c r="H134" s="474"/>
      <c r="I134" s="393"/>
      <c r="J134" s="393"/>
      <c r="K134" s="393"/>
      <c r="L134" s="393"/>
      <c r="M134" s="393"/>
      <c r="N134" s="393"/>
      <c r="O134" s="393"/>
    </row>
    <row r="135" spans="1:15" hidden="1" x14ac:dyDescent="0.25">
      <c r="A135" s="393"/>
      <c r="B135" s="393"/>
      <c r="C135" s="476" t="s">
        <v>1268</v>
      </c>
      <c r="D135" s="477">
        <f>SUM(D112*0.15)</f>
        <v>30000</v>
      </c>
      <c r="E135" s="474"/>
      <c r="F135" s="474"/>
      <c r="G135" s="474"/>
      <c r="H135" s="474"/>
      <c r="I135" s="393"/>
      <c r="J135" s="393"/>
      <c r="K135" s="393"/>
      <c r="L135" s="393"/>
      <c r="M135" s="393"/>
      <c r="N135" s="393"/>
      <c r="O135" s="393"/>
    </row>
    <row r="136" spans="1:15" hidden="1" x14ac:dyDescent="0.25">
      <c r="A136" s="393"/>
      <c r="B136" s="393"/>
      <c r="C136" s="486" t="s">
        <v>915</v>
      </c>
      <c r="D136" s="484">
        <f>SUM(80000*0.15)</f>
        <v>12000</v>
      </c>
      <c r="E136" s="474"/>
      <c r="F136" s="474"/>
      <c r="G136" s="474"/>
      <c r="H136" s="474"/>
      <c r="I136" s="393"/>
      <c r="J136" s="393"/>
      <c r="K136" s="393"/>
      <c r="L136" s="393"/>
      <c r="M136" s="393"/>
      <c r="N136" s="393"/>
      <c r="O136" s="393"/>
    </row>
    <row r="137" spans="1:15" hidden="1" x14ac:dyDescent="0.25">
      <c r="A137" s="478" t="s">
        <v>916</v>
      </c>
      <c r="B137" s="491"/>
      <c r="C137" s="491"/>
      <c r="D137" s="489"/>
      <c r="E137" s="489"/>
      <c r="F137" s="489"/>
      <c r="G137" s="479">
        <f>SUM(F125)</f>
        <v>3503251.5999999996</v>
      </c>
      <c r="H137" s="480"/>
      <c r="I137" s="481"/>
      <c r="J137" s="481"/>
      <c r="K137" s="393"/>
      <c r="L137" s="393"/>
      <c r="M137" s="393"/>
      <c r="N137" s="393"/>
      <c r="O137" s="393"/>
    </row>
    <row r="138" spans="1:15" hidden="1" x14ac:dyDescent="0.25">
      <c r="A138" s="473" t="s">
        <v>229</v>
      </c>
      <c r="B138" s="473">
        <v>53111</v>
      </c>
      <c r="C138" s="473" t="s">
        <v>157</v>
      </c>
      <c r="D138" s="474"/>
      <c r="E138" s="474"/>
      <c r="F138" s="475">
        <f>SUM(D139:D141)</f>
        <v>108000</v>
      </c>
      <c r="G138" s="474"/>
      <c r="H138" s="474"/>
      <c r="I138" s="393"/>
      <c r="J138" s="393"/>
      <c r="K138" s="393"/>
      <c r="L138" s="393"/>
      <c r="M138" s="393"/>
      <c r="N138" s="393"/>
      <c r="O138" s="393"/>
    </row>
    <row r="139" spans="1:15" hidden="1" x14ac:dyDescent="0.25">
      <c r="A139" s="393"/>
      <c r="B139" s="393"/>
      <c r="C139" s="393" t="s">
        <v>1182</v>
      </c>
      <c r="D139" s="474">
        <v>81000</v>
      </c>
      <c r="E139" s="474"/>
      <c r="F139" s="474"/>
      <c r="G139" s="474"/>
      <c r="H139" s="474"/>
      <c r="I139" s="393"/>
      <c r="J139" s="393"/>
      <c r="K139" s="393"/>
      <c r="L139" s="393"/>
      <c r="M139" s="393"/>
      <c r="N139" s="393"/>
      <c r="O139" s="393"/>
    </row>
    <row r="140" spans="1:15" hidden="1" x14ac:dyDescent="0.25">
      <c r="A140" s="393"/>
      <c r="B140" s="393"/>
      <c r="C140" s="393" t="s">
        <v>1230</v>
      </c>
      <c r="D140" s="474">
        <v>15000</v>
      </c>
      <c r="E140" s="474"/>
      <c r="F140" s="474"/>
      <c r="G140" s="474"/>
      <c r="H140" s="474"/>
      <c r="I140" s="393"/>
      <c r="J140" s="393"/>
      <c r="K140" s="393"/>
      <c r="L140" s="393"/>
      <c r="M140" s="393"/>
      <c r="N140" s="393"/>
      <c r="O140" s="393"/>
    </row>
    <row r="141" spans="1:15" hidden="1" x14ac:dyDescent="0.25">
      <c r="A141" s="393"/>
      <c r="B141" s="393"/>
      <c r="C141" s="393" t="s">
        <v>1183</v>
      </c>
      <c r="D141" s="474">
        <v>12000</v>
      </c>
      <c r="E141" s="474"/>
      <c r="F141" s="474"/>
      <c r="G141" s="474"/>
      <c r="H141" s="474"/>
      <c r="I141" s="393"/>
      <c r="J141" s="393"/>
      <c r="K141" s="393"/>
      <c r="L141" s="393"/>
      <c r="M141" s="393"/>
      <c r="N141" s="393"/>
      <c r="O141" s="393"/>
    </row>
    <row r="142" spans="1:15" hidden="1" x14ac:dyDescent="0.25">
      <c r="A142" s="473" t="s">
        <v>230</v>
      </c>
      <c r="B142" s="473">
        <v>53121</v>
      </c>
      <c r="C142" s="473" t="s">
        <v>138</v>
      </c>
      <c r="D142" s="475"/>
      <c r="E142" s="475"/>
      <c r="F142" s="475">
        <f>SUM(D143:D145)</f>
        <v>445000</v>
      </c>
      <c r="G142" s="475"/>
      <c r="H142" s="475"/>
      <c r="I142" s="473"/>
      <c r="J142" s="473"/>
      <c r="K142" s="393"/>
      <c r="L142" s="393"/>
      <c r="M142" s="393"/>
      <c r="N142" s="393"/>
      <c r="O142" s="393"/>
    </row>
    <row r="143" spans="1:15" hidden="1" x14ac:dyDescent="0.25">
      <c r="A143" s="393"/>
      <c r="B143" s="393"/>
      <c r="C143" s="393" t="s">
        <v>893</v>
      </c>
      <c r="D143" s="474">
        <v>350000</v>
      </c>
      <c r="E143" s="474"/>
      <c r="F143" s="474"/>
      <c r="G143" s="474"/>
      <c r="H143" s="474"/>
      <c r="I143" s="393"/>
      <c r="J143" s="393"/>
      <c r="K143" s="393"/>
      <c r="L143" s="393"/>
      <c r="M143" s="393"/>
      <c r="N143" s="393"/>
      <c r="O143" s="393"/>
    </row>
    <row r="144" spans="1:15" hidden="1" x14ac:dyDescent="0.25">
      <c r="A144" s="393"/>
      <c r="B144" s="393"/>
      <c r="C144" s="393" t="s">
        <v>1184</v>
      </c>
      <c r="D144" s="474">
        <v>60000</v>
      </c>
      <c r="E144" s="474"/>
      <c r="F144" s="474"/>
      <c r="G144" s="474"/>
      <c r="H144" s="474"/>
      <c r="I144" s="393"/>
      <c r="J144" s="393"/>
      <c r="K144" s="393"/>
      <c r="L144" s="393"/>
      <c r="M144" s="393"/>
      <c r="N144" s="393"/>
      <c r="O144" s="393"/>
    </row>
    <row r="145" spans="1:15" hidden="1" x14ac:dyDescent="0.25">
      <c r="A145" s="393"/>
      <c r="B145" s="393"/>
      <c r="C145" s="393" t="s">
        <v>1308</v>
      </c>
      <c r="D145" s="474">
        <v>35000</v>
      </c>
      <c r="E145" s="474"/>
      <c r="F145" s="474"/>
      <c r="G145" s="474"/>
      <c r="H145" s="474"/>
      <c r="I145" s="393"/>
      <c r="J145" s="393"/>
      <c r="K145" s="393"/>
      <c r="L145" s="393"/>
      <c r="M145" s="393"/>
      <c r="N145" s="393"/>
      <c r="O145" s="393"/>
    </row>
    <row r="146" spans="1:15" hidden="1" x14ac:dyDescent="0.25">
      <c r="A146" s="473" t="s">
        <v>235</v>
      </c>
      <c r="B146" s="473">
        <v>53211</v>
      </c>
      <c r="C146" s="473" t="s">
        <v>894</v>
      </c>
      <c r="D146" s="475"/>
      <c r="E146" s="475"/>
      <c r="F146" s="475">
        <f>SUM(E147:E151)</f>
        <v>778000</v>
      </c>
      <c r="G146" s="475"/>
      <c r="H146" s="475"/>
      <c r="I146" s="473"/>
      <c r="J146" s="473"/>
      <c r="K146" s="393"/>
      <c r="L146" s="393"/>
      <c r="M146" s="393"/>
      <c r="N146" s="393"/>
      <c r="O146" s="393"/>
    </row>
    <row r="147" spans="1:15" hidden="1" x14ac:dyDescent="0.25">
      <c r="A147" s="393"/>
      <c r="B147" s="393"/>
      <c r="C147" s="393" t="s">
        <v>895</v>
      </c>
      <c r="D147" s="474">
        <v>25000</v>
      </c>
      <c r="E147" s="474">
        <f>SUM(D147*12)</f>
        <v>300000</v>
      </c>
      <c r="F147" s="474"/>
      <c r="G147" s="474"/>
      <c r="H147" s="474"/>
      <c r="I147" s="393"/>
      <c r="J147" s="393"/>
      <c r="K147" s="393"/>
      <c r="L147" s="393"/>
      <c r="M147" s="393"/>
      <c r="N147" s="393"/>
      <c r="O147" s="393"/>
    </row>
    <row r="148" spans="1:15" hidden="1" x14ac:dyDescent="0.25">
      <c r="A148" s="393"/>
      <c r="B148" s="393"/>
      <c r="C148" s="393" t="s">
        <v>1185</v>
      </c>
      <c r="D148" s="474">
        <v>9000</v>
      </c>
      <c r="E148" s="474">
        <f>SUM(D148*12)</f>
        <v>108000</v>
      </c>
      <c r="F148" s="474"/>
      <c r="G148" s="474"/>
      <c r="H148" s="474"/>
      <c r="I148" s="393"/>
      <c r="J148" s="393"/>
      <c r="K148" s="393"/>
      <c r="L148" s="393"/>
      <c r="M148" s="393"/>
      <c r="N148" s="393"/>
      <c r="O148" s="393"/>
    </row>
    <row r="149" spans="1:15" hidden="1" x14ac:dyDescent="0.25">
      <c r="A149" s="393"/>
      <c r="B149" s="393"/>
      <c r="C149" s="393" t="s">
        <v>1309</v>
      </c>
      <c r="D149" s="474"/>
      <c r="E149" s="474">
        <v>34000</v>
      </c>
      <c r="F149" s="474"/>
      <c r="G149" s="474"/>
      <c r="H149" s="474"/>
      <c r="I149" s="393"/>
      <c r="J149" s="393"/>
      <c r="K149" s="393"/>
      <c r="L149" s="393"/>
      <c r="M149" s="393"/>
      <c r="N149" s="393"/>
      <c r="O149" s="393"/>
    </row>
    <row r="150" spans="1:15" hidden="1" x14ac:dyDescent="0.25">
      <c r="A150" s="393"/>
      <c r="B150" s="393"/>
      <c r="C150" s="393" t="s">
        <v>1186</v>
      </c>
      <c r="D150" s="474">
        <v>40000</v>
      </c>
      <c r="E150" s="474">
        <f>SUM(D150*4)</f>
        <v>160000</v>
      </c>
      <c r="F150" s="474"/>
      <c r="G150" s="474"/>
      <c r="H150" s="474"/>
      <c r="I150" s="393"/>
      <c r="J150" s="393"/>
      <c r="K150" s="393"/>
      <c r="L150" s="393"/>
      <c r="M150" s="393"/>
      <c r="N150" s="393"/>
      <c r="O150" s="393"/>
    </row>
    <row r="151" spans="1:15" hidden="1" x14ac:dyDescent="0.25">
      <c r="A151" s="393"/>
      <c r="B151" s="393"/>
      <c r="C151" s="393" t="s">
        <v>1187</v>
      </c>
      <c r="D151" s="474">
        <v>44000</v>
      </c>
      <c r="E151" s="474">
        <f>SUM(D151*4)</f>
        <v>176000</v>
      </c>
      <c r="F151" s="474"/>
      <c r="G151" s="474"/>
      <c r="H151" s="474"/>
      <c r="I151" s="393"/>
      <c r="J151" s="393"/>
      <c r="K151" s="393"/>
      <c r="L151" s="393"/>
      <c r="M151" s="393"/>
      <c r="N151" s="393"/>
      <c r="O151" s="393"/>
    </row>
    <row r="152" spans="1:15" hidden="1" x14ac:dyDescent="0.25">
      <c r="A152" s="473" t="s">
        <v>237</v>
      </c>
      <c r="B152" s="473">
        <v>53221</v>
      </c>
      <c r="C152" s="473" t="s">
        <v>917</v>
      </c>
      <c r="D152" s="475"/>
      <c r="E152" s="475"/>
      <c r="F152" s="475">
        <f>SUM(E153)</f>
        <v>120000</v>
      </c>
      <c r="G152" s="475"/>
      <c r="H152" s="475"/>
      <c r="I152" s="473"/>
      <c r="J152" s="473"/>
      <c r="K152" s="393"/>
      <c r="L152" s="393"/>
      <c r="M152" s="393"/>
      <c r="N152" s="393"/>
      <c r="O152" s="393"/>
    </row>
    <row r="153" spans="1:15" hidden="1" x14ac:dyDescent="0.25">
      <c r="A153" s="393"/>
      <c r="B153" s="393"/>
      <c r="C153" s="393" t="s">
        <v>1188</v>
      </c>
      <c r="D153" s="474">
        <v>10000</v>
      </c>
      <c r="E153" s="474">
        <f>SUM(D153*12)</f>
        <v>120000</v>
      </c>
      <c r="F153" s="474"/>
      <c r="G153" s="474"/>
      <c r="H153" s="474"/>
      <c r="I153" s="393"/>
      <c r="J153" s="393"/>
      <c r="K153" s="393"/>
      <c r="L153" s="393"/>
      <c r="M153" s="393"/>
      <c r="N153" s="393"/>
      <c r="O153" s="393"/>
    </row>
    <row r="154" spans="1:15" hidden="1" x14ac:dyDescent="0.25">
      <c r="A154" s="473" t="s">
        <v>242</v>
      </c>
      <c r="B154" s="473">
        <v>53331</v>
      </c>
      <c r="C154" s="473" t="s">
        <v>901</v>
      </c>
      <c r="D154" s="475"/>
      <c r="E154" s="475"/>
      <c r="F154" s="475">
        <f>SUM(E155)</f>
        <v>32000</v>
      </c>
      <c r="G154" s="474"/>
      <c r="H154" s="474"/>
      <c r="I154" s="393"/>
      <c r="J154" s="393"/>
      <c r="K154" s="393"/>
      <c r="L154" s="393"/>
      <c r="M154" s="393"/>
      <c r="N154" s="393"/>
      <c r="O154" s="393"/>
    </row>
    <row r="155" spans="1:15" hidden="1" x14ac:dyDescent="0.25">
      <c r="A155" s="393"/>
      <c r="B155" s="393"/>
      <c r="C155" s="393" t="s">
        <v>1310</v>
      </c>
      <c r="D155" s="474">
        <v>8000</v>
      </c>
      <c r="E155" s="474">
        <f>SUM(D155*4)</f>
        <v>32000</v>
      </c>
      <c r="F155" s="474"/>
      <c r="G155" s="474"/>
      <c r="H155" s="474"/>
      <c r="I155" s="393"/>
      <c r="J155" s="393"/>
      <c r="K155" s="393"/>
      <c r="L155" s="393"/>
      <c r="M155" s="393"/>
      <c r="N155" s="393"/>
      <c r="O155" s="393"/>
    </row>
    <row r="156" spans="1:15" hidden="1" x14ac:dyDescent="0.25">
      <c r="A156" s="473" t="s">
        <v>243</v>
      </c>
      <c r="B156" s="473">
        <v>53341</v>
      </c>
      <c r="C156" s="473" t="s">
        <v>918</v>
      </c>
      <c r="D156" s="475"/>
      <c r="E156" s="475"/>
      <c r="F156" s="475">
        <f>SUM(E157)</f>
        <v>0</v>
      </c>
      <c r="G156" s="475"/>
      <c r="H156" s="475"/>
      <c r="I156" s="473"/>
      <c r="J156" s="473"/>
      <c r="K156" s="393"/>
      <c r="L156" s="393"/>
      <c r="M156" s="393"/>
      <c r="N156" s="393"/>
      <c r="O156" s="393"/>
    </row>
    <row r="157" spans="1:15" hidden="1" x14ac:dyDescent="0.25">
      <c r="A157" s="393"/>
      <c r="B157" s="393"/>
      <c r="C157" s="393">
        <v>0</v>
      </c>
      <c r="D157" s="474"/>
      <c r="E157" s="474">
        <v>0</v>
      </c>
      <c r="F157" s="474"/>
      <c r="G157" s="474"/>
      <c r="H157" s="474"/>
      <c r="I157" s="393"/>
      <c r="J157" s="393"/>
      <c r="K157" s="393"/>
      <c r="L157" s="393"/>
      <c r="M157" s="393"/>
      <c r="N157" s="393"/>
      <c r="O157" s="393"/>
    </row>
    <row r="158" spans="1:15" hidden="1" x14ac:dyDescent="0.25">
      <c r="A158" s="473" t="s">
        <v>244</v>
      </c>
      <c r="B158" s="473">
        <v>53351</v>
      </c>
      <c r="C158" s="473" t="s">
        <v>919</v>
      </c>
      <c r="D158" s="475"/>
      <c r="E158" s="475"/>
      <c r="F158" s="475">
        <f>SUM(E159)</f>
        <v>0</v>
      </c>
      <c r="G158" s="475"/>
      <c r="H158" s="475"/>
      <c r="I158" s="473"/>
      <c r="J158" s="473"/>
      <c r="K158" s="393"/>
      <c r="L158" s="393"/>
      <c r="M158" s="393"/>
      <c r="N158" s="393"/>
      <c r="O158" s="393"/>
    </row>
    <row r="159" spans="1:15" hidden="1" x14ac:dyDescent="0.25">
      <c r="A159" s="393"/>
      <c r="B159" s="393"/>
      <c r="C159" s="393">
        <v>0</v>
      </c>
      <c r="D159" s="474"/>
      <c r="E159" s="474">
        <v>0</v>
      </c>
      <c r="F159" s="474"/>
      <c r="G159" s="474"/>
      <c r="H159" s="474"/>
      <c r="I159" s="393"/>
      <c r="J159" s="393"/>
      <c r="K159" s="393"/>
      <c r="L159" s="393"/>
      <c r="M159" s="393"/>
      <c r="N159" s="393"/>
      <c r="O159" s="393"/>
    </row>
    <row r="160" spans="1:15" hidden="1" x14ac:dyDescent="0.25">
      <c r="A160" s="473" t="s">
        <v>246</v>
      </c>
      <c r="B160" s="473">
        <v>53361</v>
      </c>
      <c r="C160" s="473" t="s">
        <v>920</v>
      </c>
      <c r="D160" s="475"/>
      <c r="E160" s="475"/>
      <c r="F160" s="475">
        <f>SUM(E161)</f>
        <v>20000</v>
      </c>
      <c r="G160" s="475"/>
      <c r="H160" s="475"/>
      <c r="I160" s="473"/>
      <c r="J160" s="473"/>
      <c r="K160" s="393"/>
      <c r="L160" s="393"/>
      <c r="M160" s="393"/>
      <c r="N160" s="393"/>
      <c r="O160" s="393"/>
    </row>
    <row r="161" spans="1:15" hidden="1" x14ac:dyDescent="0.25">
      <c r="A161" s="393"/>
      <c r="B161" s="393"/>
      <c r="C161" s="393" t="s">
        <v>1189</v>
      </c>
      <c r="D161" s="474"/>
      <c r="E161" s="474">
        <v>20000</v>
      </c>
      <c r="F161" s="474"/>
      <c r="G161" s="474"/>
      <c r="H161" s="474"/>
      <c r="I161" s="393"/>
      <c r="J161" s="393"/>
      <c r="K161" s="393"/>
      <c r="L161" s="393"/>
      <c r="M161" s="393"/>
      <c r="N161" s="393"/>
      <c r="O161" s="393"/>
    </row>
    <row r="162" spans="1:15" hidden="1" x14ac:dyDescent="0.25">
      <c r="A162" s="473" t="s">
        <v>247</v>
      </c>
      <c r="B162" s="473">
        <v>53371</v>
      </c>
      <c r="C162" s="473" t="s">
        <v>134</v>
      </c>
      <c r="D162" s="475"/>
      <c r="E162" s="475"/>
      <c r="F162" s="475">
        <f>SUM(E163:E166)</f>
        <v>1000000</v>
      </c>
      <c r="G162" s="475"/>
      <c r="H162" s="475"/>
      <c r="I162" s="473"/>
      <c r="J162" s="473"/>
      <c r="K162" s="393"/>
      <c r="L162" s="393"/>
      <c r="M162" s="393"/>
      <c r="N162" s="393"/>
      <c r="O162" s="393"/>
    </row>
    <row r="163" spans="1:15" hidden="1" x14ac:dyDescent="0.25">
      <c r="A163" s="393"/>
      <c r="B163" s="393"/>
      <c r="C163" s="393" t="s">
        <v>1190</v>
      </c>
      <c r="D163" s="474"/>
      <c r="E163" s="474">
        <v>200000</v>
      </c>
      <c r="F163" s="474"/>
      <c r="G163" s="474"/>
      <c r="H163" s="474"/>
      <c r="I163" s="393"/>
      <c r="J163" s="393"/>
      <c r="K163" s="393"/>
      <c r="L163" s="393"/>
      <c r="M163" s="393"/>
      <c r="N163" s="393"/>
      <c r="O163" s="393"/>
    </row>
    <row r="164" spans="1:15" hidden="1" x14ac:dyDescent="0.25">
      <c r="A164" s="393"/>
      <c r="B164" s="393"/>
      <c r="C164" s="393" t="s">
        <v>1034</v>
      </c>
      <c r="D164" s="474"/>
      <c r="E164" s="474">
        <v>600000</v>
      </c>
      <c r="F164" s="474"/>
      <c r="G164" s="474"/>
      <c r="H164" s="474"/>
      <c r="I164" s="393"/>
      <c r="J164" s="393"/>
      <c r="K164" s="393"/>
      <c r="L164" s="393"/>
      <c r="M164" s="393"/>
      <c r="N164" s="393"/>
      <c r="O164" s="393"/>
    </row>
    <row r="165" spans="1:15" hidden="1" x14ac:dyDescent="0.25">
      <c r="A165" s="393"/>
      <c r="B165" s="393"/>
      <c r="C165" s="393" t="s">
        <v>1191</v>
      </c>
      <c r="D165" s="474"/>
      <c r="E165" s="474">
        <v>140000</v>
      </c>
      <c r="F165" s="474"/>
      <c r="G165" s="474"/>
      <c r="H165" s="474"/>
      <c r="I165" s="393"/>
      <c r="J165" s="393"/>
      <c r="K165" s="393"/>
      <c r="L165" s="393"/>
      <c r="M165" s="393"/>
      <c r="N165" s="393"/>
      <c r="O165" s="393"/>
    </row>
    <row r="166" spans="1:15" hidden="1" x14ac:dyDescent="0.25">
      <c r="A166" s="393"/>
      <c r="B166" s="393"/>
      <c r="C166" s="393" t="s">
        <v>134</v>
      </c>
      <c r="D166" s="474"/>
      <c r="E166" s="474">
        <v>60000</v>
      </c>
      <c r="F166" s="474"/>
      <c r="G166" s="474"/>
      <c r="H166" s="474"/>
      <c r="I166" s="393"/>
      <c r="J166" s="393"/>
      <c r="K166" s="393"/>
      <c r="L166" s="393"/>
      <c r="M166" s="393"/>
      <c r="N166" s="393"/>
      <c r="O166" s="393"/>
    </row>
    <row r="167" spans="1:15" hidden="1" x14ac:dyDescent="0.25">
      <c r="A167" s="473" t="s">
        <v>250</v>
      </c>
      <c r="B167" s="473">
        <v>53411</v>
      </c>
      <c r="C167" s="473" t="s">
        <v>155</v>
      </c>
      <c r="D167" s="475"/>
      <c r="E167" s="475"/>
      <c r="F167" s="475">
        <f>SUM(E168:E170)</f>
        <v>38000</v>
      </c>
      <c r="G167" s="475"/>
      <c r="H167" s="475"/>
      <c r="I167" s="473"/>
      <c r="J167" s="473"/>
      <c r="K167" s="393"/>
      <c r="L167" s="393"/>
      <c r="M167" s="393"/>
      <c r="N167" s="393"/>
      <c r="O167" s="393"/>
    </row>
    <row r="168" spans="1:15" hidden="1" x14ac:dyDescent="0.25">
      <c r="A168" s="393"/>
      <c r="B168" s="393"/>
      <c r="C168" s="393" t="s">
        <v>1178</v>
      </c>
      <c r="D168" s="474"/>
      <c r="E168" s="474">
        <v>28000</v>
      </c>
      <c r="F168" s="474"/>
      <c r="G168" s="474"/>
      <c r="H168" s="474"/>
      <c r="I168" s="393"/>
      <c r="J168" s="393"/>
      <c r="K168" s="393"/>
      <c r="L168" s="393"/>
      <c r="M168" s="393"/>
      <c r="N168" s="393"/>
      <c r="O168" s="393"/>
    </row>
    <row r="169" spans="1:15" hidden="1" x14ac:dyDescent="0.25">
      <c r="A169" s="393"/>
      <c r="B169" s="393"/>
      <c r="C169" s="393" t="s">
        <v>828</v>
      </c>
      <c r="D169" s="474"/>
      <c r="E169" s="474">
        <v>5000</v>
      </c>
      <c r="F169" s="474"/>
      <c r="G169" s="474"/>
      <c r="H169" s="474"/>
      <c r="I169" s="393"/>
      <c r="J169" s="393"/>
      <c r="K169" s="393"/>
      <c r="L169" s="393"/>
      <c r="M169" s="393"/>
      <c r="N169" s="393"/>
      <c r="O169" s="393"/>
    </row>
    <row r="170" spans="1:15" hidden="1" x14ac:dyDescent="0.25">
      <c r="A170" s="393"/>
      <c r="B170" s="393"/>
      <c r="C170" s="393" t="s">
        <v>10</v>
      </c>
      <c r="D170" s="474"/>
      <c r="E170" s="474">
        <v>5000</v>
      </c>
      <c r="F170" s="474"/>
      <c r="G170" s="474"/>
      <c r="H170" s="474"/>
      <c r="I170" s="393"/>
      <c r="J170" s="393"/>
      <c r="K170" s="393"/>
      <c r="L170" s="393"/>
      <c r="M170" s="393"/>
      <c r="N170" s="393"/>
      <c r="O170" s="393"/>
    </row>
    <row r="171" spans="1:15" hidden="1" x14ac:dyDescent="0.25">
      <c r="A171" s="473" t="s">
        <v>255</v>
      </c>
      <c r="B171" s="473">
        <v>53511</v>
      </c>
      <c r="C171" s="473" t="s">
        <v>921</v>
      </c>
      <c r="D171" s="475"/>
      <c r="E171" s="475"/>
      <c r="F171" s="475">
        <v>460000</v>
      </c>
      <c r="G171" s="475"/>
      <c r="H171" s="475"/>
      <c r="I171" s="473"/>
      <c r="J171" s="473"/>
      <c r="K171" s="393"/>
      <c r="L171" s="393"/>
      <c r="M171" s="393"/>
      <c r="N171" s="393"/>
      <c r="O171" s="393"/>
    </row>
    <row r="172" spans="1:15" hidden="1" x14ac:dyDescent="0.25">
      <c r="A172" s="473" t="s">
        <v>262</v>
      </c>
      <c r="B172" s="473">
        <v>53551</v>
      </c>
      <c r="C172" s="473" t="s">
        <v>175</v>
      </c>
      <c r="D172" s="475"/>
      <c r="E172" s="475"/>
      <c r="F172" s="475"/>
      <c r="G172" s="475"/>
      <c r="H172" s="475"/>
      <c r="I172" s="473"/>
      <c r="J172" s="473"/>
      <c r="K172" s="393"/>
      <c r="L172" s="393"/>
      <c r="M172" s="393"/>
      <c r="N172" s="393"/>
      <c r="O172" s="393"/>
    </row>
    <row r="173" spans="1:15" hidden="1" x14ac:dyDescent="0.25">
      <c r="A173" s="473"/>
      <c r="B173" s="473"/>
      <c r="C173" s="473" t="s">
        <v>1192</v>
      </c>
      <c r="D173" s="475"/>
      <c r="E173" s="474">
        <v>2000</v>
      </c>
      <c r="F173" s="475">
        <f>SUM(E173)</f>
        <v>2000</v>
      </c>
      <c r="G173" s="475"/>
      <c r="H173" s="475"/>
      <c r="I173" s="473"/>
      <c r="J173" s="473"/>
      <c r="K173" s="393"/>
      <c r="L173" s="393"/>
      <c r="M173" s="393"/>
      <c r="N173" s="393"/>
      <c r="O173" s="393"/>
    </row>
    <row r="174" spans="1:15" hidden="1" x14ac:dyDescent="0.25">
      <c r="A174" s="478" t="s">
        <v>922</v>
      </c>
      <c r="B174" s="487"/>
      <c r="C174" s="487"/>
      <c r="D174" s="488"/>
      <c r="E174" s="488"/>
      <c r="F174" s="488"/>
      <c r="G174" s="479">
        <f>SUM(F138:F173)</f>
        <v>3003000</v>
      </c>
      <c r="H174" s="475"/>
      <c r="I174" s="473"/>
      <c r="J174" s="473"/>
      <c r="K174" s="393"/>
      <c r="L174" s="393"/>
      <c r="M174" s="393"/>
      <c r="N174" s="393"/>
      <c r="O174" s="393"/>
    </row>
    <row r="175" spans="1:15" s="314" customFormat="1" hidden="1" x14ac:dyDescent="0.25">
      <c r="A175" s="487" t="s">
        <v>317</v>
      </c>
      <c r="B175" s="487">
        <v>5641</v>
      </c>
      <c r="C175" s="487" t="s">
        <v>1269</v>
      </c>
      <c r="D175" s="488"/>
      <c r="E175" s="488"/>
      <c r="F175" s="488">
        <f>SUM(E176)</f>
        <v>0</v>
      </c>
      <c r="G175" s="489"/>
      <c r="H175" s="489"/>
      <c r="I175" s="487"/>
      <c r="J175" s="487"/>
      <c r="K175" s="490"/>
      <c r="L175" s="490"/>
      <c r="M175" s="490"/>
      <c r="N175" s="490"/>
      <c r="O175" s="490"/>
    </row>
    <row r="176" spans="1:15" s="314" customFormat="1" hidden="1" x14ac:dyDescent="0.25">
      <c r="A176" s="491"/>
      <c r="B176" s="491"/>
      <c r="C176" s="491"/>
      <c r="D176" s="489"/>
      <c r="E176" s="489"/>
      <c r="F176" s="489"/>
      <c r="G176" s="489"/>
      <c r="H176" s="489"/>
      <c r="I176" s="487"/>
      <c r="J176" s="487"/>
      <c r="K176" s="490"/>
      <c r="L176" s="490"/>
      <c r="M176" s="490"/>
      <c r="N176" s="490"/>
      <c r="O176" s="490"/>
    </row>
    <row r="177" spans="1:15" s="314" customFormat="1" hidden="1" x14ac:dyDescent="0.25">
      <c r="A177" s="487" t="s">
        <v>322</v>
      </c>
      <c r="B177" s="487">
        <v>5671</v>
      </c>
      <c r="C177" s="487" t="s">
        <v>1270</v>
      </c>
      <c r="D177" s="488"/>
      <c r="E177" s="488"/>
      <c r="F177" s="488">
        <f>SUM(E178)</f>
        <v>0</v>
      </c>
      <c r="G177" s="489"/>
      <c r="H177" s="489"/>
      <c r="I177" s="487"/>
      <c r="J177" s="487"/>
      <c r="K177" s="490"/>
      <c r="L177" s="490"/>
      <c r="M177" s="490"/>
      <c r="N177" s="490"/>
      <c r="O177" s="490"/>
    </row>
    <row r="178" spans="1:15" s="314" customFormat="1" hidden="1" x14ac:dyDescent="0.25">
      <c r="A178" s="491"/>
      <c r="B178" s="491"/>
      <c r="C178" s="491"/>
      <c r="D178" s="489"/>
      <c r="E178" s="489"/>
      <c r="F178" s="489"/>
      <c r="G178" s="489"/>
      <c r="H178" s="489"/>
      <c r="I178" s="487"/>
      <c r="J178" s="487"/>
      <c r="K178" s="490"/>
      <c r="L178" s="490"/>
      <c r="M178" s="490"/>
      <c r="N178" s="490"/>
      <c r="O178" s="490"/>
    </row>
    <row r="179" spans="1:15" ht="15.75" hidden="1" thickBot="1" x14ac:dyDescent="0.3">
      <c r="A179" s="478" t="s">
        <v>1271</v>
      </c>
      <c r="B179" s="487"/>
      <c r="C179" s="487"/>
      <c r="D179" s="488"/>
      <c r="E179" s="488"/>
      <c r="F179" s="488"/>
      <c r="G179" s="479">
        <f>SUM(F175:F177)</f>
        <v>0</v>
      </c>
      <c r="H179" s="480"/>
      <c r="I179" s="393"/>
      <c r="J179" s="393"/>
      <c r="K179" s="393"/>
      <c r="L179" s="393"/>
      <c r="M179" s="393"/>
      <c r="N179" s="393"/>
      <c r="O179" s="393"/>
    </row>
    <row r="180" spans="1:15" ht="15.75" hidden="1" thickBot="1" x14ac:dyDescent="0.3">
      <c r="A180" s="691" t="s">
        <v>1424</v>
      </c>
      <c r="B180" s="692"/>
      <c r="C180" s="487"/>
      <c r="D180" s="488"/>
      <c r="E180" s="488"/>
      <c r="F180" s="488"/>
      <c r="G180" s="514">
        <f>SUM(F92:F179)</f>
        <v>33889571.600000001</v>
      </c>
      <c r="H180" s="492"/>
      <c r="I180" s="473"/>
      <c r="J180" s="473"/>
      <c r="K180" s="473"/>
      <c r="L180" s="473"/>
      <c r="M180" s="393"/>
      <c r="N180" s="393"/>
      <c r="O180" s="393"/>
    </row>
    <row r="181" spans="1:15" hidden="1" x14ac:dyDescent="0.25">
      <c r="A181" s="487"/>
      <c r="B181" s="487"/>
      <c r="C181" s="487"/>
      <c r="D181" s="488"/>
      <c r="E181" s="488"/>
      <c r="F181" s="488"/>
      <c r="G181" s="488"/>
      <c r="H181" s="492"/>
      <c r="I181" s="473"/>
      <c r="J181" s="473"/>
      <c r="K181" s="473"/>
      <c r="L181" s="473"/>
      <c r="M181" s="393"/>
      <c r="N181" s="393"/>
      <c r="O181" s="393"/>
    </row>
    <row r="182" spans="1:15" ht="15.75" hidden="1" thickBot="1" x14ac:dyDescent="0.3">
      <c r="A182" s="487"/>
      <c r="B182" s="487"/>
      <c r="C182" s="487"/>
      <c r="D182" s="493"/>
      <c r="E182" s="493"/>
      <c r="F182" s="493"/>
      <c r="G182" s="493"/>
      <c r="H182" s="494"/>
      <c r="I182" s="473"/>
      <c r="J182" s="473"/>
      <c r="K182" s="473"/>
      <c r="L182" s="473"/>
      <c r="M182" s="393"/>
      <c r="N182" s="393"/>
      <c r="O182" s="393"/>
    </row>
    <row r="183" spans="1:15" ht="15.75" hidden="1" thickBot="1" x14ac:dyDescent="0.3">
      <c r="A183" s="698" t="s">
        <v>1200</v>
      </c>
      <c r="B183" s="699"/>
      <c r="C183" s="699"/>
      <c r="D183" s="699"/>
      <c r="E183" s="699"/>
      <c r="F183" s="699"/>
      <c r="G183" s="700"/>
      <c r="H183" s="501"/>
      <c r="I183" s="473"/>
      <c r="J183" s="473"/>
      <c r="K183" s="473"/>
      <c r="L183" s="473"/>
      <c r="M183" s="393"/>
      <c r="N183" s="393"/>
      <c r="O183" s="393"/>
    </row>
    <row r="184" spans="1:15" hidden="1" x14ac:dyDescent="0.25">
      <c r="A184" s="495"/>
      <c r="B184" s="495"/>
      <c r="C184" s="495"/>
      <c r="D184" s="495"/>
      <c r="E184" s="495"/>
      <c r="F184" s="495"/>
      <c r="G184" s="495"/>
      <c r="H184" s="393"/>
      <c r="I184" s="393"/>
      <c r="J184" s="393"/>
      <c r="K184" s="393"/>
      <c r="L184" s="393"/>
      <c r="M184" s="393"/>
      <c r="N184" s="393"/>
      <c r="O184" s="393"/>
    </row>
    <row r="185" spans="1:15" ht="18.75" hidden="1" customHeight="1" x14ac:dyDescent="0.25">
      <c r="A185" s="710" t="s">
        <v>910</v>
      </c>
      <c r="B185" s="710"/>
      <c r="C185" s="710"/>
      <c r="D185" s="710"/>
      <c r="E185" s="710"/>
      <c r="F185" s="710"/>
      <c r="G185" s="710"/>
      <c r="H185" s="472"/>
      <c r="I185" s="393"/>
      <c r="J185" s="393"/>
      <c r="K185" s="393"/>
      <c r="L185" s="393"/>
      <c r="M185" s="393"/>
      <c r="N185" s="393"/>
      <c r="O185" s="393"/>
    </row>
    <row r="186" spans="1:15" hidden="1" x14ac:dyDescent="0.25">
      <c r="A186" s="473" t="s">
        <v>195</v>
      </c>
      <c r="B186" s="473">
        <v>511011</v>
      </c>
      <c r="C186" s="475" t="s">
        <v>877</v>
      </c>
      <c r="D186" s="474"/>
      <c r="E186" s="474"/>
      <c r="F186" s="475">
        <f>SUM(E187:E195)</f>
        <v>11907000</v>
      </c>
      <c r="G186" s="474"/>
      <c r="H186" s="474"/>
      <c r="I186" s="393"/>
      <c r="J186" s="393"/>
      <c r="K186" s="393"/>
      <c r="L186" s="393"/>
      <c r="M186" s="393"/>
      <c r="N186" s="393"/>
      <c r="O186" s="393"/>
    </row>
    <row r="187" spans="1:15" hidden="1" x14ac:dyDescent="0.25">
      <c r="A187" s="393"/>
      <c r="B187" s="393"/>
      <c r="C187" s="474" t="s">
        <v>18</v>
      </c>
      <c r="D187" s="474">
        <v>290000</v>
      </c>
      <c r="E187" s="474">
        <f>SUM(D187*1)</f>
        <v>290000</v>
      </c>
      <c r="F187" s="474"/>
      <c r="G187" s="474"/>
      <c r="H187" s="474"/>
      <c r="I187" s="393"/>
      <c r="J187" s="393"/>
      <c r="K187" s="393"/>
      <c r="L187" s="393"/>
      <c r="M187" s="393"/>
      <c r="N187" s="393"/>
      <c r="O187" s="393"/>
    </row>
    <row r="188" spans="1:15" hidden="1" x14ac:dyDescent="0.25">
      <c r="A188" s="393"/>
      <c r="B188" s="393"/>
      <c r="C188" s="474"/>
      <c r="D188" s="474">
        <v>290000</v>
      </c>
      <c r="E188" s="474">
        <f>SUM(D188*2)</f>
        <v>580000</v>
      </c>
      <c r="F188" s="474"/>
      <c r="G188" s="474"/>
      <c r="H188" s="474"/>
      <c r="I188" s="393"/>
      <c r="J188" s="393"/>
      <c r="K188" s="393"/>
      <c r="L188" s="393"/>
      <c r="M188" s="393"/>
      <c r="N188" s="393"/>
      <c r="O188" s="393"/>
    </row>
    <row r="189" spans="1:15" hidden="1" x14ac:dyDescent="0.25">
      <c r="A189" s="393"/>
      <c r="B189" s="393"/>
      <c r="C189" s="474"/>
      <c r="D189" s="474">
        <v>348000</v>
      </c>
      <c r="E189" s="474">
        <f>SUM(D189*9)</f>
        <v>3132000</v>
      </c>
      <c r="F189" s="474"/>
      <c r="G189" s="474"/>
      <c r="H189" s="474"/>
      <c r="I189" s="393"/>
      <c r="J189" s="393"/>
      <c r="K189" s="393"/>
      <c r="L189" s="393"/>
      <c r="M189" s="393"/>
      <c r="N189" s="393"/>
      <c r="O189" s="393"/>
    </row>
    <row r="190" spans="1:15" hidden="1" x14ac:dyDescent="0.25">
      <c r="A190" s="393"/>
      <c r="B190" s="393"/>
      <c r="C190" s="474" t="s">
        <v>1240</v>
      </c>
      <c r="D190" s="474">
        <v>262800</v>
      </c>
      <c r="E190" s="474">
        <f>SUM(D190*1)</f>
        <v>262800</v>
      </c>
      <c r="F190" s="474"/>
      <c r="G190" s="474"/>
      <c r="H190" s="474"/>
      <c r="I190" s="393"/>
      <c r="J190" s="393"/>
      <c r="K190" s="393"/>
      <c r="L190" s="393"/>
      <c r="M190" s="393"/>
      <c r="N190" s="393"/>
      <c r="O190" s="393"/>
    </row>
    <row r="191" spans="1:15" hidden="1" x14ac:dyDescent="0.25">
      <c r="A191" s="393"/>
      <c r="B191" s="393"/>
      <c r="C191" s="474"/>
      <c r="D191" s="474">
        <v>262800</v>
      </c>
      <c r="E191" s="474">
        <f>SUM(D191*2)</f>
        <v>525600</v>
      </c>
      <c r="F191" s="474"/>
      <c r="G191" s="666"/>
      <c r="H191" s="474"/>
      <c r="I191" s="393"/>
      <c r="J191" s="393"/>
      <c r="K191" s="393"/>
      <c r="L191" s="393"/>
      <c r="M191" s="393"/>
      <c r="N191" s="393"/>
      <c r="O191" s="393"/>
    </row>
    <row r="192" spans="1:15" hidden="1" x14ac:dyDescent="0.25">
      <c r="A192" s="393"/>
      <c r="B192" s="393"/>
      <c r="C192" s="474"/>
      <c r="D192" s="496">
        <v>315400</v>
      </c>
      <c r="E192" s="474">
        <f>SUM(D192*9)</f>
        <v>2838600</v>
      </c>
      <c r="F192" s="474"/>
      <c r="G192" s="474"/>
      <c r="H192" s="474"/>
      <c r="I192" s="393"/>
      <c r="J192" s="393"/>
      <c r="K192" s="393"/>
      <c r="L192" s="393"/>
      <c r="M192" s="393"/>
      <c r="N192" s="393"/>
      <c r="O192" s="393"/>
    </row>
    <row r="193" spans="1:15" hidden="1" x14ac:dyDescent="0.25">
      <c r="A193" s="393"/>
      <c r="B193" s="393"/>
      <c r="C193" s="474" t="s">
        <v>1311</v>
      </c>
      <c r="D193" s="474">
        <v>310000</v>
      </c>
      <c r="E193" s="474">
        <f>SUM(D193*1)</f>
        <v>310000</v>
      </c>
      <c r="F193" s="474"/>
      <c r="G193" s="474"/>
      <c r="H193" s="474"/>
      <c r="I193" s="393"/>
      <c r="J193" s="393"/>
      <c r="K193" s="393"/>
      <c r="L193" s="393"/>
      <c r="M193" s="393"/>
      <c r="N193" s="393"/>
      <c r="O193" s="393"/>
    </row>
    <row r="194" spans="1:15" hidden="1" x14ac:dyDescent="0.25">
      <c r="A194" s="393"/>
      <c r="B194" s="393"/>
      <c r="C194" s="474"/>
      <c r="D194" s="474">
        <v>310000</v>
      </c>
      <c r="E194" s="474">
        <f>SUM(D194*2)</f>
        <v>620000</v>
      </c>
      <c r="F194" s="474"/>
      <c r="G194" s="474"/>
      <c r="H194" s="474"/>
      <c r="I194" s="393"/>
      <c r="J194" s="393"/>
      <c r="K194" s="393"/>
      <c r="L194" s="393"/>
      <c r="M194" s="393"/>
      <c r="N194" s="393"/>
      <c r="O194" s="393"/>
    </row>
    <row r="195" spans="1:15" hidden="1" x14ac:dyDescent="0.25">
      <c r="A195" s="393"/>
      <c r="B195" s="393"/>
      <c r="C195" s="496"/>
      <c r="D195" s="496">
        <v>372000</v>
      </c>
      <c r="E195" s="496">
        <f>SUM(D195*9)</f>
        <v>3348000</v>
      </c>
      <c r="F195" s="474"/>
      <c r="G195" s="474"/>
      <c r="H195" s="474"/>
      <c r="I195" s="393"/>
      <c r="J195" s="393"/>
      <c r="K195" s="393"/>
      <c r="L195" s="393"/>
      <c r="M195" s="393"/>
      <c r="N195" s="393"/>
      <c r="O195" s="393"/>
    </row>
    <row r="196" spans="1:15" hidden="1" x14ac:dyDescent="0.25">
      <c r="A196" s="473" t="s">
        <v>197</v>
      </c>
      <c r="B196" s="473">
        <v>511021</v>
      </c>
      <c r="C196" s="475" t="s">
        <v>23</v>
      </c>
      <c r="D196" s="475"/>
      <c r="E196" s="475"/>
      <c r="F196" s="475">
        <v>0</v>
      </c>
      <c r="G196" s="474"/>
      <c r="H196" s="474"/>
      <c r="I196" s="393"/>
      <c r="J196" s="393"/>
      <c r="K196" s="393"/>
      <c r="L196" s="393"/>
      <c r="M196" s="393"/>
      <c r="N196" s="393"/>
      <c r="O196" s="393"/>
    </row>
    <row r="197" spans="1:15" hidden="1" x14ac:dyDescent="0.25">
      <c r="A197" s="473" t="s">
        <v>204</v>
      </c>
      <c r="B197" s="473">
        <v>511061</v>
      </c>
      <c r="C197" s="475" t="s">
        <v>16</v>
      </c>
      <c r="D197" s="474"/>
      <c r="E197" s="474"/>
      <c r="F197" s="475">
        <f>SUM(E198)</f>
        <v>0</v>
      </c>
      <c r="G197" s="474"/>
      <c r="H197" s="474"/>
      <c r="I197" s="393"/>
      <c r="J197" s="393"/>
      <c r="K197" s="393"/>
      <c r="L197" s="393"/>
      <c r="M197" s="393"/>
      <c r="N197" s="393"/>
      <c r="O197" s="393"/>
    </row>
    <row r="198" spans="1:15" hidden="1" x14ac:dyDescent="0.25">
      <c r="A198" s="393"/>
      <c r="B198" s="393"/>
      <c r="C198" s="474"/>
      <c r="D198" s="474">
        <v>0</v>
      </c>
      <c r="E198" s="474">
        <f>SUM(D198*3)</f>
        <v>0</v>
      </c>
      <c r="F198" s="474"/>
      <c r="G198" s="474"/>
      <c r="H198" s="474"/>
      <c r="I198" s="393"/>
      <c r="J198" s="393"/>
      <c r="K198" s="393"/>
      <c r="L198" s="393"/>
      <c r="M198" s="393"/>
      <c r="N198" s="393"/>
      <c r="O198" s="393"/>
    </row>
    <row r="199" spans="1:15" hidden="1" x14ac:dyDescent="0.25">
      <c r="A199" s="473" t="s">
        <v>206</v>
      </c>
      <c r="B199" s="473">
        <v>511071</v>
      </c>
      <c r="C199" s="475" t="s">
        <v>205</v>
      </c>
      <c r="D199" s="475"/>
      <c r="E199" s="475"/>
      <c r="F199" s="475">
        <f>SUM(D200:D202)</f>
        <v>600000</v>
      </c>
      <c r="G199" s="474"/>
      <c r="H199" s="474"/>
      <c r="I199" s="393"/>
      <c r="J199" s="393"/>
      <c r="K199" s="393"/>
      <c r="L199" s="393"/>
      <c r="M199" s="393"/>
      <c r="N199" s="393"/>
      <c r="O199" s="393"/>
    </row>
    <row r="200" spans="1:15" hidden="1" x14ac:dyDescent="0.25">
      <c r="A200" s="393"/>
      <c r="B200" s="393"/>
      <c r="C200" s="474" t="s">
        <v>18</v>
      </c>
      <c r="D200" s="474">
        <v>200000</v>
      </c>
      <c r="E200" s="474"/>
      <c r="F200" s="474"/>
      <c r="G200" s="474"/>
      <c r="H200" s="474"/>
      <c r="I200" s="393"/>
      <c r="J200" s="393"/>
      <c r="K200" s="393"/>
      <c r="L200" s="393"/>
      <c r="M200" s="393"/>
      <c r="N200" s="393"/>
      <c r="O200" s="393"/>
    </row>
    <row r="201" spans="1:15" hidden="1" x14ac:dyDescent="0.25">
      <c r="A201" s="393"/>
      <c r="B201" s="393"/>
      <c r="C201" s="474" t="s">
        <v>1240</v>
      </c>
      <c r="D201" s="474">
        <v>200000</v>
      </c>
      <c r="E201" s="474"/>
      <c r="F201" s="474"/>
      <c r="G201" s="474"/>
      <c r="H201" s="474"/>
      <c r="I201" s="393"/>
      <c r="J201" s="393"/>
      <c r="K201" s="393"/>
      <c r="L201" s="393"/>
      <c r="M201" s="393"/>
      <c r="N201" s="393"/>
      <c r="O201" s="393"/>
    </row>
    <row r="202" spans="1:15" hidden="1" x14ac:dyDescent="0.25">
      <c r="A202" s="393"/>
      <c r="B202" s="393"/>
      <c r="C202" s="474" t="s">
        <v>1311</v>
      </c>
      <c r="D202" s="474">
        <v>200000</v>
      </c>
      <c r="E202" s="474"/>
      <c r="F202" s="474"/>
      <c r="G202" s="474"/>
      <c r="H202" s="474"/>
      <c r="I202" s="393"/>
      <c r="J202" s="393"/>
      <c r="K202" s="393"/>
      <c r="L202" s="393"/>
      <c r="M202" s="393"/>
      <c r="N202" s="393"/>
      <c r="O202" s="393"/>
    </row>
    <row r="203" spans="1:15" hidden="1" x14ac:dyDescent="0.25">
      <c r="A203" s="473" t="s">
        <v>208</v>
      </c>
      <c r="B203" s="473">
        <v>511091</v>
      </c>
      <c r="C203" s="475" t="s">
        <v>34</v>
      </c>
      <c r="D203" s="475"/>
      <c r="E203" s="475"/>
      <c r="F203" s="475">
        <f>SUM(E204)</f>
        <v>90000</v>
      </c>
      <c r="G203" s="474"/>
      <c r="H203" s="474"/>
      <c r="I203" s="393"/>
      <c r="J203" s="393"/>
      <c r="K203" s="393"/>
      <c r="L203" s="393"/>
      <c r="M203" s="393"/>
      <c r="N203" s="393"/>
      <c r="O203" s="393"/>
    </row>
    <row r="204" spans="1:15" hidden="1" x14ac:dyDescent="0.25">
      <c r="A204" s="393"/>
      <c r="B204" s="393"/>
      <c r="C204" s="474" t="s">
        <v>1311</v>
      </c>
      <c r="D204" s="474">
        <v>7500</v>
      </c>
      <c r="E204" s="474">
        <f>SUM(D204*12)</f>
        <v>90000</v>
      </c>
      <c r="F204" s="474"/>
      <c r="G204" s="474"/>
      <c r="H204" s="474"/>
      <c r="I204" s="393"/>
      <c r="J204" s="393"/>
      <c r="K204" s="393"/>
      <c r="L204" s="393"/>
      <c r="M204" s="393"/>
      <c r="N204" s="393"/>
      <c r="O204" s="393"/>
    </row>
    <row r="205" spans="1:15" hidden="1" x14ac:dyDescent="0.25">
      <c r="A205" s="473" t="s">
        <v>210</v>
      </c>
      <c r="B205" s="473">
        <v>5111101</v>
      </c>
      <c r="C205" s="475" t="s">
        <v>878</v>
      </c>
      <c r="D205" s="475"/>
      <c r="E205" s="475"/>
      <c r="F205" s="475">
        <f>SUM(D206:D208)</f>
        <v>150000</v>
      </c>
      <c r="G205" s="474"/>
      <c r="H205" s="474"/>
      <c r="I205" s="393"/>
      <c r="J205" s="393"/>
      <c r="K205" s="393"/>
      <c r="L205" s="393"/>
      <c r="M205" s="393"/>
      <c r="N205" s="393"/>
      <c r="O205" s="393"/>
    </row>
    <row r="206" spans="1:15" hidden="1" x14ac:dyDescent="0.25">
      <c r="A206" s="393"/>
      <c r="B206" s="393"/>
      <c r="C206" s="474" t="s">
        <v>1193</v>
      </c>
      <c r="D206" s="474">
        <v>50000</v>
      </c>
      <c r="E206" s="474"/>
      <c r="F206" s="474"/>
      <c r="G206" s="474"/>
      <c r="H206" s="474"/>
      <c r="I206" s="393"/>
      <c r="J206" s="393"/>
      <c r="K206" s="393"/>
      <c r="L206" s="393"/>
      <c r="M206" s="393"/>
      <c r="N206" s="393"/>
      <c r="O206" s="393"/>
    </row>
    <row r="207" spans="1:15" hidden="1" x14ac:dyDescent="0.25">
      <c r="A207" s="393"/>
      <c r="B207" s="393"/>
      <c r="C207" s="474" t="s">
        <v>1311</v>
      </c>
      <c r="D207" s="474">
        <v>50000</v>
      </c>
      <c r="E207" s="474"/>
      <c r="F207" s="474"/>
      <c r="G207" s="474"/>
      <c r="H207" s="474"/>
      <c r="I207" s="393"/>
      <c r="J207" s="393"/>
      <c r="K207" s="393"/>
      <c r="L207" s="393"/>
      <c r="M207" s="393"/>
      <c r="N207" s="393"/>
      <c r="O207" s="393"/>
    </row>
    <row r="208" spans="1:15" hidden="1" x14ac:dyDescent="0.25">
      <c r="A208" s="393"/>
      <c r="B208" s="393"/>
      <c r="C208" s="474" t="s">
        <v>1240</v>
      </c>
      <c r="D208" s="474">
        <v>50000</v>
      </c>
      <c r="E208" s="474"/>
      <c r="F208" s="474"/>
      <c r="G208" s="474"/>
      <c r="H208" s="474"/>
      <c r="I208" s="393"/>
      <c r="J208" s="393"/>
      <c r="K208" s="393"/>
      <c r="L208" s="393"/>
      <c r="M208" s="393"/>
      <c r="N208" s="393"/>
      <c r="O208" s="393"/>
    </row>
    <row r="209" spans="1:15" hidden="1" x14ac:dyDescent="0.25">
      <c r="A209" s="473"/>
      <c r="B209" s="473"/>
      <c r="C209" s="475"/>
      <c r="D209" s="475"/>
      <c r="E209" s="475"/>
      <c r="F209" s="475"/>
      <c r="G209" s="475"/>
      <c r="H209" s="475"/>
      <c r="I209" s="473"/>
      <c r="J209" s="393"/>
      <c r="K209" s="393"/>
      <c r="L209" s="393"/>
      <c r="M209" s="393"/>
      <c r="N209" s="393"/>
      <c r="O209" s="393"/>
    </row>
    <row r="210" spans="1:15" hidden="1" x14ac:dyDescent="0.25">
      <c r="A210" s="473"/>
      <c r="B210" s="473"/>
      <c r="C210" s="475"/>
      <c r="D210" s="475"/>
      <c r="E210" s="475"/>
      <c r="F210" s="475"/>
      <c r="G210" s="475"/>
      <c r="H210" s="475"/>
      <c r="I210" s="473"/>
      <c r="J210" s="393"/>
      <c r="K210" s="393"/>
      <c r="L210" s="393"/>
      <c r="M210" s="393"/>
      <c r="N210" s="393"/>
      <c r="O210" s="393"/>
    </row>
    <row r="211" spans="1:15" hidden="1" x14ac:dyDescent="0.25">
      <c r="A211" s="478" t="s">
        <v>912</v>
      </c>
      <c r="B211" s="491"/>
      <c r="C211" s="488"/>
      <c r="D211" s="489"/>
      <c r="E211" s="489"/>
      <c r="F211" s="489"/>
      <c r="G211" s="479">
        <f>SUM(F186:F210)</f>
        <v>12747000</v>
      </c>
      <c r="H211" s="480"/>
      <c r="I211" s="481"/>
      <c r="J211" s="393"/>
      <c r="K211" s="393"/>
      <c r="L211" s="393"/>
      <c r="M211" s="393"/>
      <c r="N211" s="393"/>
      <c r="O211" s="393"/>
    </row>
    <row r="212" spans="1:15" hidden="1" x14ac:dyDescent="0.25">
      <c r="A212" s="473" t="s">
        <v>228</v>
      </c>
      <c r="B212" s="393"/>
      <c r="C212" s="475" t="s">
        <v>913</v>
      </c>
      <c r="D212" s="474"/>
      <c r="E212" s="474"/>
      <c r="F212" s="475">
        <f>SUM(E213:E217)</f>
        <v>1737480</v>
      </c>
      <c r="G212" s="475"/>
      <c r="H212" s="474"/>
      <c r="I212" s="393"/>
      <c r="J212" s="393"/>
      <c r="K212" s="393"/>
      <c r="L212" s="393"/>
      <c r="M212" s="393"/>
      <c r="N212" s="393"/>
      <c r="O212" s="393"/>
    </row>
    <row r="213" spans="1:15" hidden="1" x14ac:dyDescent="0.25">
      <c r="A213" s="473" t="s">
        <v>228</v>
      </c>
      <c r="B213" s="393">
        <v>5231</v>
      </c>
      <c r="C213" s="474" t="s">
        <v>1180</v>
      </c>
      <c r="D213" s="474"/>
      <c r="E213" s="474">
        <f>SUM(D214:D216)</f>
        <v>1647480</v>
      </c>
      <c r="F213" s="474"/>
      <c r="G213" s="474"/>
      <c r="H213" s="474"/>
      <c r="I213" s="393"/>
      <c r="J213" s="393"/>
      <c r="K213" s="393"/>
      <c r="L213" s="393"/>
      <c r="M213" s="393"/>
      <c r="N213" s="393"/>
      <c r="O213" s="393"/>
    </row>
    <row r="214" spans="1:15" hidden="1" x14ac:dyDescent="0.25">
      <c r="A214" s="393"/>
      <c r="B214" s="485">
        <v>0.155</v>
      </c>
      <c r="C214" s="474">
        <f>SUM(E187+E190+E193)</f>
        <v>862800</v>
      </c>
      <c r="D214" s="474">
        <f>SUM(C214*0.155)</f>
        <v>133734</v>
      </c>
      <c r="E214" s="474"/>
      <c r="F214" s="474"/>
      <c r="G214" s="474"/>
      <c r="H214" s="474"/>
      <c r="I214" s="393"/>
      <c r="J214" s="393"/>
      <c r="K214" s="393"/>
      <c r="L214" s="393"/>
      <c r="M214" s="393"/>
      <c r="N214" s="393"/>
      <c r="O214" s="393"/>
    </row>
    <row r="215" spans="1:15" hidden="1" x14ac:dyDescent="0.25">
      <c r="A215" s="393"/>
      <c r="B215" s="640">
        <v>0.13</v>
      </c>
      <c r="C215" s="474">
        <f>SUM(E188+E189+E191+E192+E194+E195)</f>
        <v>11044200</v>
      </c>
      <c r="D215" s="474">
        <f>SUM(C215*0.13)</f>
        <v>1435746</v>
      </c>
      <c r="E215" s="474"/>
      <c r="F215" s="474"/>
      <c r="G215" s="474"/>
      <c r="H215" s="474"/>
      <c r="I215" s="393"/>
      <c r="J215" s="393"/>
      <c r="K215" s="393"/>
      <c r="L215" s="393"/>
      <c r="M215" s="393"/>
      <c r="N215" s="393"/>
      <c r="O215" s="393"/>
    </row>
    <row r="216" spans="1:15" hidden="1" x14ac:dyDescent="0.25">
      <c r="A216" s="393"/>
      <c r="B216" s="640">
        <v>0.13</v>
      </c>
      <c r="C216" s="600" t="s">
        <v>1181</v>
      </c>
      <c r="D216" s="600">
        <f>SUM(F199*0.13)</f>
        <v>78000</v>
      </c>
      <c r="E216" s="474"/>
      <c r="F216" s="474"/>
      <c r="G216" s="474"/>
      <c r="H216" s="474"/>
      <c r="I216" s="393"/>
      <c r="J216" s="393"/>
      <c r="K216" s="393"/>
      <c r="L216" s="393"/>
      <c r="M216" s="393"/>
      <c r="N216" s="393"/>
      <c r="O216" s="393"/>
    </row>
    <row r="217" spans="1:15" hidden="1" x14ac:dyDescent="0.25">
      <c r="A217" s="393"/>
      <c r="B217" s="393">
        <v>5237</v>
      </c>
      <c r="C217" s="474" t="s">
        <v>914</v>
      </c>
      <c r="D217" s="474"/>
      <c r="E217" s="474">
        <f>SUM(F199*0.15)</f>
        <v>90000</v>
      </c>
      <c r="F217" s="474"/>
      <c r="G217" s="474"/>
      <c r="H217" s="474"/>
      <c r="I217" s="393"/>
      <c r="J217" s="393"/>
      <c r="K217" s="393"/>
      <c r="L217" s="393"/>
      <c r="M217" s="393"/>
      <c r="N217" s="393"/>
      <c r="O217" s="393"/>
    </row>
    <row r="218" spans="1:15" hidden="1" x14ac:dyDescent="0.25">
      <c r="A218" s="393"/>
      <c r="B218" s="393"/>
      <c r="C218" s="474" t="s">
        <v>915</v>
      </c>
      <c r="D218" s="474"/>
      <c r="E218" s="474"/>
      <c r="F218" s="474"/>
      <c r="G218" s="474"/>
      <c r="H218" s="474"/>
      <c r="I218" s="393"/>
      <c r="J218" s="393"/>
      <c r="K218" s="393"/>
      <c r="L218" s="393"/>
      <c r="M218" s="393"/>
      <c r="N218" s="393"/>
      <c r="O218" s="393"/>
    </row>
    <row r="219" spans="1:15" hidden="1" x14ac:dyDescent="0.25">
      <c r="A219" s="478" t="s">
        <v>916</v>
      </c>
      <c r="B219" s="491"/>
      <c r="C219" s="489"/>
      <c r="D219" s="489"/>
      <c r="E219" s="489"/>
      <c r="F219" s="489"/>
      <c r="G219" s="479">
        <f>SUM(F212)</f>
        <v>1737480</v>
      </c>
      <c r="H219" s="480"/>
      <c r="I219" s="481"/>
      <c r="J219" s="393"/>
      <c r="K219" s="393"/>
      <c r="L219" s="393"/>
      <c r="M219" s="393"/>
      <c r="N219" s="393"/>
      <c r="O219" s="393"/>
    </row>
    <row r="220" spans="1:15" hidden="1" x14ac:dyDescent="0.25">
      <c r="A220" s="473" t="s">
        <v>229</v>
      </c>
      <c r="B220" s="473">
        <v>53111</v>
      </c>
      <c r="C220" s="475" t="s">
        <v>157</v>
      </c>
      <c r="D220" s="474"/>
      <c r="E220" s="474"/>
      <c r="F220" s="475">
        <f>SUM(D221:D223)</f>
        <v>69000</v>
      </c>
      <c r="G220" s="474"/>
      <c r="H220" s="474"/>
      <c r="I220" s="393"/>
      <c r="J220" s="393"/>
      <c r="K220" s="393"/>
      <c r="L220" s="393"/>
      <c r="M220" s="393"/>
      <c r="N220" s="393"/>
      <c r="O220" s="393"/>
    </row>
    <row r="221" spans="1:15" hidden="1" x14ac:dyDescent="0.25">
      <c r="A221" s="393"/>
      <c r="B221" s="393"/>
      <c r="C221" s="474" t="s">
        <v>1182</v>
      </c>
      <c r="D221" s="474">
        <v>51000</v>
      </c>
      <c r="E221" s="474"/>
      <c r="F221" s="474"/>
      <c r="G221" s="474"/>
      <c r="H221" s="474"/>
      <c r="I221" s="393"/>
      <c r="J221" s="393"/>
      <c r="K221" s="393"/>
      <c r="L221" s="393"/>
      <c r="M221" s="393"/>
      <c r="N221" s="393"/>
      <c r="O221" s="393"/>
    </row>
    <row r="222" spans="1:15" hidden="1" x14ac:dyDescent="0.25">
      <c r="A222" s="393"/>
      <c r="B222" s="393"/>
      <c r="C222" s="474" t="s">
        <v>1183</v>
      </c>
      <c r="D222" s="474">
        <v>8000</v>
      </c>
      <c r="E222" s="474"/>
      <c r="F222" s="474"/>
      <c r="G222" s="474"/>
      <c r="H222" s="474"/>
      <c r="I222" s="393"/>
      <c r="J222" s="393"/>
      <c r="K222" s="393"/>
      <c r="L222" s="393"/>
      <c r="M222" s="393"/>
      <c r="N222" s="393"/>
      <c r="O222" s="393"/>
    </row>
    <row r="223" spans="1:15" hidden="1" x14ac:dyDescent="0.25">
      <c r="A223" s="393"/>
      <c r="B223" s="393"/>
      <c r="C223" s="474" t="s">
        <v>1230</v>
      </c>
      <c r="D223" s="474">
        <v>10000</v>
      </c>
      <c r="E223" s="474"/>
      <c r="F223" s="474"/>
      <c r="G223" s="474"/>
      <c r="H223" s="474"/>
      <c r="I223" s="393"/>
      <c r="J223" s="393"/>
      <c r="K223" s="393"/>
      <c r="L223" s="393"/>
      <c r="M223" s="393"/>
      <c r="N223" s="393"/>
      <c r="O223" s="393"/>
    </row>
    <row r="224" spans="1:15" hidden="1" x14ac:dyDescent="0.25">
      <c r="A224" s="473" t="s">
        <v>230</v>
      </c>
      <c r="B224" s="473">
        <v>53121</v>
      </c>
      <c r="C224" s="475" t="s">
        <v>138</v>
      </c>
      <c r="D224" s="475"/>
      <c r="E224" s="475"/>
      <c r="F224" s="475">
        <f>SUM(D225:D226)</f>
        <v>120000</v>
      </c>
      <c r="G224" s="475"/>
      <c r="H224" s="475"/>
      <c r="I224" s="473"/>
      <c r="J224" s="393"/>
      <c r="K224" s="393"/>
      <c r="L224" s="393"/>
      <c r="M224" s="393"/>
      <c r="N224" s="393"/>
      <c r="O224" s="393"/>
    </row>
    <row r="225" spans="1:15" hidden="1" x14ac:dyDescent="0.25">
      <c r="A225" s="393"/>
      <c r="B225" s="393"/>
      <c r="C225" s="474" t="s">
        <v>893</v>
      </c>
      <c r="D225" s="474">
        <v>110000</v>
      </c>
      <c r="E225" s="474"/>
      <c r="F225" s="474"/>
      <c r="G225" s="474"/>
      <c r="H225" s="474"/>
      <c r="I225" s="393"/>
      <c r="J225" s="393"/>
      <c r="K225" s="393"/>
      <c r="L225" s="393"/>
      <c r="M225" s="393"/>
      <c r="N225" s="393"/>
      <c r="O225" s="393"/>
    </row>
    <row r="226" spans="1:15" hidden="1" x14ac:dyDescent="0.25">
      <c r="A226" s="393"/>
      <c r="B226" s="393"/>
      <c r="C226" s="474" t="s">
        <v>1308</v>
      </c>
      <c r="D226" s="474">
        <v>10000</v>
      </c>
      <c r="E226" s="474"/>
      <c r="F226" s="474"/>
      <c r="G226" s="474"/>
      <c r="H226" s="474"/>
      <c r="I226" s="393"/>
      <c r="J226" s="393"/>
      <c r="K226" s="393"/>
      <c r="L226" s="393"/>
      <c r="M226" s="393"/>
      <c r="N226" s="393"/>
      <c r="O226" s="393"/>
    </row>
    <row r="227" spans="1:15" hidden="1" x14ac:dyDescent="0.25">
      <c r="A227" s="473" t="s">
        <v>235</v>
      </c>
      <c r="B227" s="473">
        <v>53211</v>
      </c>
      <c r="C227" s="475" t="s">
        <v>894</v>
      </c>
      <c r="D227" s="475"/>
      <c r="E227" s="475"/>
      <c r="F227" s="475">
        <f>SUM(E228:E232)</f>
        <v>410000</v>
      </c>
      <c r="G227" s="475"/>
      <c r="H227" s="475"/>
      <c r="I227" s="473"/>
      <c r="J227" s="393"/>
      <c r="K227" s="393"/>
      <c r="L227" s="393"/>
      <c r="M227" s="393"/>
      <c r="N227" s="393"/>
      <c r="O227" s="393"/>
    </row>
    <row r="228" spans="1:15" hidden="1" x14ac:dyDescent="0.25">
      <c r="A228" s="393"/>
      <c r="B228" s="393"/>
      <c r="C228" s="474" t="s">
        <v>1194</v>
      </c>
      <c r="D228" s="474">
        <v>20000</v>
      </c>
      <c r="E228" s="474">
        <f>SUM(D228*4)</f>
        <v>80000</v>
      </c>
      <c r="F228" s="474"/>
      <c r="G228" s="474"/>
      <c r="H228" s="474"/>
      <c r="I228" s="393"/>
      <c r="J228" s="393"/>
      <c r="K228" s="393"/>
      <c r="L228" s="393"/>
      <c r="M228" s="393"/>
      <c r="N228" s="393"/>
      <c r="O228" s="393"/>
    </row>
    <row r="229" spans="1:15" hidden="1" x14ac:dyDescent="0.25">
      <c r="A229" s="393"/>
      <c r="B229" s="393"/>
      <c r="C229" s="474" t="s">
        <v>1027</v>
      </c>
      <c r="D229" s="474">
        <v>8000</v>
      </c>
      <c r="E229" s="474">
        <f>SUM(D229*12)</f>
        <v>96000</v>
      </c>
      <c r="F229" s="474"/>
      <c r="G229" s="474"/>
      <c r="H229" s="474"/>
      <c r="I229" s="393"/>
      <c r="J229" s="393"/>
      <c r="K229" s="393"/>
      <c r="L229" s="393"/>
      <c r="M229" s="393"/>
      <c r="N229" s="393"/>
      <c r="O229" s="393"/>
    </row>
    <row r="230" spans="1:15" hidden="1" x14ac:dyDescent="0.25">
      <c r="A230" s="393"/>
      <c r="B230" s="393"/>
      <c r="C230" s="474" t="s">
        <v>1312</v>
      </c>
      <c r="D230" s="474"/>
      <c r="E230" s="474">
        <v>22000</v>
      </c>
      <c r="F230" s="474"/>
      <c r="G230" s="474"/>
      <c r="H230" s="474"/>
      <c r="I230" s="393"/>
      <c r="J230" s="393"/>
      <c r="K230" s="393"/>
      <c r="L230" s="393"/>
      <c r="M230" s="393"/>
      <c r="N230" s="393"/>
      <c r="O230" s="393"/>
    </row>
    <row r="231" spans="1:15" hidden="1" x14ac:dyDescent="0.25">
      <c r="A231" s="393"/>
      <c r="B231" s="393"/>
      <c r="C231" s="474" t="s">
        <v>1186</v>
      </c>
      <c r="D231" s="474">
        <v>25000</v>
      </c>
      <c r="E231" s="474">
        <f>SUM(D231*4)</f>
        <v>100000</v>
      </c>
      <c r="F231" s="474"/>
      <c r="G231" s="474"/>
      <c r="H231" s="474"/>
      <c r="I231" s="393"/>
      <c r="J231" s="393"/>
      <c r="K231" s="393"/>
      <c r="L231" s="393"/>
      <c r="M231" s="393"/>
      <c r="N231" s="393"/>
      <c r="O231" s="393"/>
    </row>
    <row r="232" spans="1:15" hidden="1" x14ac:dyDescent="0.25">
      <c r="A232" s="393"/>
      <c r="B232" s="393"/>
      <c r="C232" s="474" t="s">
        <v>1187</v>
      </c>
      <c r="D232" s="474">
        <v>28000</v>
      </c>
      <c r="E232" s="474">
        <f>SUM(D232*4)</f>
        <v>112000</v>
      </c>
      <c r="F232" s="474"/>
      <c r="G232" s="474"/>
      <c r="H232" s="474"/>
      <c r="I232" s="393"/>
      <c r="J232" s="393"/>
      <c r="K232" s="393"/>
      <c r="L232" s="393"/>
      <c r="M232" s="393"/>
      <c r="N232" s="393"/>
      <c r="O232" s="393"/>
    </row>
    <row r="233" spans="1:15" hidden="1" x14ac:dyDescent="0.25">
      <c r="A233" s="473" t="s">
        <v>237</v>
      </c>
      <c r="B233" s="473">
        <v>53221</v>
      </c>
      <c r="C233" s="475" t="s">
        <v>917</v>
      </c>
      <c r="D233" s="475"/>
      <c r="E233" s="475"/>
      <c r="F233" s="475">
        <f>SUM(E234)</f>
        <v>48000</v>
      </c>
      <c r="G233" s="475"/>
      <c r="H233" s="475"/>
      <c r="I233" s="473"/>
      <c r="J233" s="393"/>
      <c r="K233" s="393"/>
      <c r="L233" s="393"/>
      <c r="M233" s="393"/>
      <c r="N233" s="393"/>
      <c r="O233" s="393"/>
    </row>
    <row r="234" spans="1:15" hidden="1" x14ac:dyDescent="0.25">
      <c r="A234" s="393"/>
      <c r="B234" s="393"/>
      <c r="C234" s="474" t="s">
        <v>1027</v>
      </c>
      <c r="D234" s="474">
        <v>4000</v>
      </c>
      <c r="E234" s="474">
        <f>SUM(D234*12)</f>
        <v>48000</v>
      </c>
      <c r="F234" s="474"/>
      <c r="G234" s="474"/>
      <c r="H234" s="474"/>
      <c r="I234" s="393"/>
      <c r="J234" s="393"/>
      <c r="K234" s="393"/>
      <c r="L234" s="393"/>
      <c r="M234" s="393"/>
      <c r="N234" s="393"/>
      <c r="O234" s="393"/>
    </row>
    <row r="235" spans="1:15" hidden="1" x14ac:dyDescent="0.25">
      <c r="A235" s="473" t="s">
        <v>243</v>
      </c>
      <c r="B235" s="473">
        <v>53341</v>
      </c>
      <c r="C235" s="475" t="s">
        <v>918</v>
      </c>
      <c r="D235" s="475"/>
      <c r="E235" s="475"/>
      <c r="F235" s="475">
        <f>SUM(E236)</f>
        <v>0</v>
      </c>
      <c r="G235" s="475"/>
      <c r="H235" s="475"/>
      <c r="I235" s="473"/>
      <c r="J235" s="393"/>
      <c r="K235" s="393"/>
      <c r="L235" s="393"/>
      <c r="M235" s="393"/>
      <c r="N235" s="393"/>
      <c r="O235" s="393"/>
    </row>
    <row r="236" spans="1:15" hidden="1" x14ac:dyDescent="0.25">
      <c r="A236" s="393"/>
      <c r="B236" s="393"/>
      <c r="C236" s="474">
        <v>0</v>
      </c>
      <c r="D236" s="474"/>
      <c r="E236" s="474">
        <v>0</v>
      </c>
      <c r="F236" s="474"/>
      <c r="G236" s="474"/>
      <c r="H236" s="474"/>
      <c r="I236" s="393"/>
      <c r="J236" s="393"/>
      <c r="K236" s="393"/>
      <c r="L236" s="393"/>
      <c r="M236" s="393"/>
      <c r="N236" s="393"/>
      <c r="O236" s="393"/>
    </row>
    <row r="237" spans="1:15" hidden="1" x14ac:dyDescent="0.25">
      <c r="A237" s="473" t="s">
        <v>244</v>
      </c>
      <c r="B237" s="473">
        <v>53351</v>
      </c>
      <c r="C237" s="475" t="s">
        <v>919</v>
      </c>
      <c r="D237" s="475"/>
      <c r="E237" s="475"/>
      <c r="F237" s="475">
        <f>SUM(E238)</f>
        <v>0</v>
      </c>
      <c r="G237" s="475"/>
      <c r="H237" s="475"/>
      <c r="I237" s="473"/>
      <c r="J237" s="393"/>
      <c r="K237" s="393"/>
      <c r="L237" s="393"/>
      <c r="M237" s="393"/>
      <c r="N237" s="393"/>
      <c r="O237" s="393"/>
    </row>
    <row r="238" spans="1:15" hidden="1" x14ac:dyDescent="0.25">
      <c r="A238" s="393"/>
      <c r="B238" s="393"/>
      <c r="C238" s="474">
        <v>0</v>
      </c>
      <c r="D238" s="474"/>
      <c r="E238" s="474">
        <v>0</v>
      </c>
      <c r="F238" s="474"/>
      <c r="G238" s="474"/>
      <c r="H238" s="474"/>
      <c r="I238" s="393"/>
      <c r="J238" s="393"/>
      <c r="K238" s="393"/>
      <c r="L238" s="393"/>
      <c r="M238" s="393"/>
      <c r="N238" s="393"/>
      <c r="O238" s="393"/>
    </row>
    <row r="239" spans="1:15" hidden="1" x14ac:dyDescent="0.25">
      <c r="A239" s="473" t="s">
        <v>246</v>
      </c>
      <c r="B239" s="473">
        <v>53361</v>
      </c>
      <c r="C239" s="475" t="s">
        <v>920</v>
      </c>
      <c r="D239" s="475"/>
      <c r="E239" s="475"/>
      <c r="F239" s="475">
        <f>SUM(E240)</f>
        <v>10000</v>
      </c>
      <c r="G239" s="475"/>
      <c r="H239" s="475"/>
      <c r="I239" s="473"/>
      <c r="J239" s="393"/>
      <c r="K239" s="393"/>
      <c r="L239" s="393"/>
      <c r="M239" s="393"/>
      <c r="N239" s="393"/>
      <c r="O239" s="393"/>
    </row>
    <row r="240" spans="1:15" hidden="1" x14ac:dyDescent="0.25">
      <c r="A240" s="393"/>
      <c r="B240" s="393"/>
      <c r="C240" s="474" t="s">
        <v>1189</v>
      </c>
      <c r="D240" s="474"/>
      <c r="E240" s="474">
        <v>10000</v>
      </c>
      <c r="F240" s="474"/>
      <c r="G240" s="474"/>
      <c r="H240" s="474"/>
      <c r="I240" s="393"/>
      <c r="J240" s="393"/>
      <c r="K240" s="393"/>
      <c r="L240" s="393"/>
      <c r="M240" s="393"/>
      <c r="N240" s="393"/>
      <c r="O240" s="393"/>
    </row>
    <row r="241" spans="1:15" hidden="1" x14ac:dyDescent="0.25">
      <c r="A241" s="473" t="s">
        <v>247</v>
      </c>
      <c r="B241" s="473">
        <v>53371</v>
      </c>
      <c r="C241" s="475" t="s">
        <v>134</v>
      </c>
      <c r="D241" s="475"/>
      <c r="E241" s="475"/>
      <c r="F241" s="475">
        <f>SUM(E242:E245)</f>
        <v>300000</v>
      </c>
      <c r="G241" s="475"/>
      <c r="H241" s="475"/>
      <c r="I241" s="473"/>
      <c r="J241" s="393"/>
      <c r="K241" s="393"/>
      <c r="L241" s="393"/>
      <c r="M241" s="393"/>
      <c r="N241" s="393"/>
      <c r="O241" s="393"/>
    </row>
    <row r="242" spans="1:15" hidden="1" x14ac:dyDescent="0.25">
      <c r="A242" s="393"/>
      <c r="B242" s="393"/>
      <c r="C242" s="474" t="s">
        <v>1190</v>
      </c>
      <c r="D242" s="474"/>
      <c r="E242" s="474">
        <v>60000</v>
      </c>
      <c r="F242" s="474"/>
      <c r="G242" s="474"/>
      <c r="H242" s="474"/>
      <c r="I242" s="393"/>
      <c r="J242" s="393"/>
      <c r="K242" s="393"/>
      <c r="L242" s="393"/>
      <c r="M242" s="393"/>
      <c r="N242" s="393"/>
      <c r="O242" s="393"/>
    </row>
    <row r="243" spans="1:15" hidden="1" x14ac:dyDescent="0.25">
      <c r="A243" s="393"/>
      <c r="B243" s="393"/>
      <c r="C243" s="474" t="s">
        <v>1034</v>
      </c>
      <c r="D243" s="474"/>
      <c r="E243" s="474">
        <v>130000</v>
      </c>
      <c r="F243" s="474"/>
      <c r="G243" s="474"/>
      <c r="H243" s="474"/>
      <c r="I243" s="393"/>
      <c r="J243" s="393"/>
      <c r="K243" s="393"/>
      <c r="L243" s="393"/>
      <c r="M243" s="393"/>
      <c r="N243" s="393"/>
      <c r="O243" s="393"/>
    </row>
    <row r="244" spans="1:15" hidden="1" x14ac:dyDescent="0.25">
      <c r="A244" s="393"/>
      <c r="B244" s="393"/>
      <c r="C244" s="474" t="s">
        <v>1191</v>
      </c>
      <c r="D244" s="474"/>
      <c r="E244" s="474">
        <v>100000</v>
      </c>
      <c r="F244" s="474"/>
      <c r="G244" s="474"/>
      <c r="H244" s="474"/>
      <c r="I244" s="393"/>
      <c r="J244" s="393"/>
      <c r="K244" s="393"/>
      <c r="L244" s="393"/>
      <c r="M244" s="393"/>
      <c r="N244" s="393"/>
      <c r="O244" s="393"/>
    </row>
    <row r="245" spans="1:15" hidden="1" x14ac:dyDescent="0.25">
      <c r="A245" s="393"/>
      <c r="B245" s="393"/>
      <c r="C245" s="474" t="s">
        <v>134</v>
      </c>
      <c r="D245" s="474"/>
      <c r="E245" s="474">
        <v>10000</v>
      </c>
      <c r="F245" s="474"/>
      <c r="G245" s="474"/>
      <c r="H245" s="474"/>
      <c r="I245" s="393"/>
      <c r="J245" s="393"/>
      <c r="K245" s="393"/>
      <c r="L245" s="393"/>
      <c r="M245" s="393"/>
      <c r="N245" s="393"/>
      <c r="O245" s="393"/>
    </row>
    <row r="246" spans="1:15" hidden="1" x14ac:dyDescent="0.25">
      <c r="A246" s="473" t="s">
        <v>250</v>
      </c>
      <c r="B246" s="473">
        <v>53411</v>
      </c>
      <c r="C246" s="475" t="s">
        <v>155</v>
      </c>
      <c r="D246" s="475"/>
      <c r="E246" s="475"/>
      <c r="F246" s="475">
        <f>SUM(E247:E247)</f>
        <v>24000</v>
      </c>
      <c r="G246" s="475"/>
      <c r="H246" s="475"/>
      <c r="I246" s="473"/>
      <c r="J246" s="393"/>
      <c r="K246" s="393"/>
      <c r="L246" s="393"/>
      <c r="M246" s="393"/>
      <c r="N246" s="393"/>
      <c r="O246" s="393"/>
    </row>
    <row r="247" spans="1:15" hidden="1" x14ac:dyDescent="0.25">
      <c r="A247" s="393"/>
      <c r="B247" s="393"/>
      <c r="C247" s="474" t="s">
        <v>1178</v>
      </c>
      <c r="D247" s="474"/>
      <c r="E247" s="474">
        <v>24000</v>
      </c>
      <c r="F247" s="474"/>
      <c r="G247" s="474"/>
      <c r="H247" s="474"/>
      <c r="I247" s="393"/>
      <c r="J247" s="393"/>
      <c r="K247" s="393"/>
      <c r="L247" s="393"/>
      <c r="M247" s="393"/>
      <c r="N247" s="393"/>
      <c r="O247" s="393"/>
    </row>
    <row r="248" spans="1:15" hidden="1" x14ac:dyDescent="0.25">
      <c r="A248" s="473" t="s">
        <v>255</v>
      </c>
      <c r="B248" s="473">
        <v>53511</v>
      </c>
      <c r="C248" s="475" t="s">
        <v>921</v>
      </c>
      <c r="D248" s="475"/>
      <c r="E248" s="475"/>
      <c r="F248" s="475">
        <v>200000</v>
      </c>
      <c r="G248" s="475"/>
      <c r="H248" s="475"/>
      <c r="I248" s="473"/>
      <c r="J248" s="393"/>
      <c r="K248" s="393"/>
      <c r="L248" s="393"/>
      <c r="M248" s="393"/>
      <c r="N248" s="393"/>
      <c r="O248" s="393"/>
    </row>
    <row r="249" spans="1:15" hidden="1" x14ac:dyDescent="0.25">
      <c r="A249" s="473" t="s">
        <v>262</v>
      </c>
      <c r="B249" s="473">
        <v>53551</v>
      </c>
      <c r="C249" s="475" t="s">
        <v>175</v>
      </c>
      <c r="D249" s="475"/>
      <c r="E249" s="475"/>
      <c r="F249" s="475"/>
      <c r="G249" s="475"/>
      <c r="H249" s="475"/>
      <c r="I249" s="473"/>
      <c r="J249" s="393"/>
      <c r="K249" s="393"/>
      <c r="L249" s="393"/>
      <c r="M249" s="393"/>
      <c r="N249" s="393"/>
      <c r="O249" s="393"/>
    </row>
    <row r="250" spans="1:15" hidden="1" x14ac:dyDescent="0.25">
      <c r="A250" s="473"/>
      <c r="B250" s="473"/>
      <c r="C250" s="475" t="s">
        <v>1192</v>
      </c>
      <c r="D250" s="475"/>
      <c r="E250" s="474">
        <v>1000</v>
      </c>
      <c r="F250" s="475">
        <f>SUM(E250)</f>
        <v>1000</v>
      </c>
      <c r="G250" s="475"/>
      <c r="H250" s="475"/>
      <c r="I250" s="473"/>
      <c r="J250" s="393"/>
      <c r="K250" s="393"/>
      <c r="L250" s="393"/>
      <c r="M250" s="393"/>
      <c r="N250" s="393"/>
      <c r="O250" s="393"/>
    </row>
    <row r="251" spans="1:15" ht="15.75" hidden="1" thickBot="1" x14ac:dyDescent="0.3">
      <c r="A251" s="497" t="s">
        <v>922</v>
      </c>
      <c r="B251" s="502"/>
      <c r="C251" s="503"/>
      <c r="D251" s="503"/>
      <c r="E251" s="503"/>
      <c r="F251" s="503"/>
      <c r="G251" s="498">
        <f>SUM(F220:F250)</f>
        <v>1182000</v>
      </c>
      <c r="H251" s="499"/>
      <c r="I251" s="473"/>
      <c r="J251" s="393"/>
      <c r="K251" s="393"/>
      <c r="L251" s="393"/>
      <c r="M251" s="393"/>
      <c r="N251" s="393"/>
      <c r="O251" s="393"/>
    </row>
    <row r="252" spans="1:15" ht="15.75" hidden="1" thickBot="1" x14ac:dyDescent="0.3">
      <c r="A252" s="693" t="s">
        <v>1425</v>
      </c>
      <c r="B252" s="694"/>
      <c r="C252" s="503"/>
      <c r="D252" s="503"/>
      <c r="E252" s="503"/>
      <c r="F252" s="503"/>
      <c r="G252" s="667">
        <f>SUM(F187:F251)</f>
        <v>3759480</v>
      </c>
      <c r="H252" s="663"/>
      <c r="I252" s="473"/>
      <c r="J252" s="473"/>
      <c r="K252" s="473"/>
      <c r="L252" s="393"/>
      <c r="M252" s="393"/>
      <c r="N252" s="393"/>
      <c r="O252" s="393"/>
    </row>
    <row r="253" spans="1:15" hidden="1" x14ac:dyDescent="0.25">
      <c r="A253" s="393"/>
      <c r="B253" s="393"/>
      <c r="C253" s="474"/>
      <c r="D253" s="474"/>
      <c r="E253" s="474"/>
      <c r="F253" s="474"/>
      <c r="G253" s="474"/>
      <c r="H253" s="474"/>
      <c r="I253" s="393"/>
      <c r="J253" s="393"/>
      <c r="K253" s="393"/>
      <c r="L253" s="393"/>
      <c r="M253" s="393"/>
      <c r="N253" s="393"/>
      <c r="O253" s="393"/>
    </row>
    <row r="254" spans="1:15" ht="15.75" hidden="1" thickBot="1" x14ac:dyDescent="0.3">
      <c r="A254" s="393"/>
      <c r="B254" s="393"/>
      <c r="C254" s="393"/>
      <c r="D254" s="393"/>
      <c r="E254" s="393"/>
      <c r="F254" s="393"/>
      <c r="G254" s="393"/>
      <c r="H254" s="393"/>
      <c r="I254" s="393"/>
      <c r="J254" s="393"/>
      <c r="K254" s="393"/>
      <c r="L254" s="393"/>
      <c r="M254" s="393"/>
      <c r="N254" s="393"/>
      <c r="O254" s="393"/>
    </row>
    <row r="255" spans="1:15" ht="15.75" hidden="1" thickBot="1" x14ac:dyDescent="0.3">
      <c r="A255" s="698" t="s">
        <v>1195</v>
      </c>
      <c r="B255" s="699"/>
      <c r="C255" s="699"/>
      <c r="D255" s="699"/>
      <c r="E255" s="699"/>
      <c r="F255" s="699"/>
      <c r="G255" s="700"/>
      <c r="H255" s="501"/>
      <c r="I255" s="501"/>
      <c r="J255" s="501"/>
      <c r="K255" s="501"/>
      <c r="L255" s="501"/>
      <c r="M255" s="393"/>
      <c r="N255" s="393"/>
      <c r="O255" s="393"/>
    </row>
    <row r="256" spans="1:15" s="314" customFormat="1" hidden="1" x14ac:dyDescent="0.25">
      <c r="A256" s="470"/>
      <c r="B256" s="470"/>
      <c r="C256" s="470"/>
      <c r="D256" s="470"/>
      <c r="E256" s="470"/>
      <c r="F256" s="470"/>
      <c r="G256" s="470"/>
      <c r="H256" s="470"/>
      <c r="I256" s="501"/>
      <c r="J256" s="501"/>
      <c r="K256" s="501"/>
      <c r="L256" s="501"/>
      <c r="M256" s="490"/>
      <c r="N256" s="490"/>
      <c r="O256" s="490"/>
    </row>
    <row r="257" spans="1:15" ht="18.75" hidden="1" customHeight="1" x14ac:dyDescent="0.25">
      <c r="A257" s="711" t="s">
        <v>910</v>
      </c>
      <c r="B257" s="711"/>
      <c r="C257" s="711"/>
      <c r="D257" s="711"/>
      <c r="E257" s="711"/>
      <c r="F257" s="711"/>
      <c r="G257" s="711"/>
      <c r="H257" s="668"/>
      <c r="I257" s="393"/>
      <c r="J257" s="393"/>
      <c r="K257" s="393"/>
      <c r="L257" s="393"/>
      <c r="M257" s="393"/>
      <c r="N257" s="393"/>
      <c r="O257" s="393"/>
    </row>
    <row r="258" spans="1:15" hidden="1" x14ac:dyDescent="0.25">
      <c r="A258" s="473" t="s">
        <v>195</v>
      </c>
      <c r="B258" s="473">
        <v>511011</v>
      </c>
      <c r="C258" s="473" t="s">
        <v>877</v>
      </c>
      <c r="D258" s="474"/>
      <c r="E258" s="474"/>
      <c r="F258" s="475">
        <f>SUM(E259:E264)</f>
        <v>5559000</v>
      </c>
      <c r="G258" s="474"/>
      <c r="H258" s="474"/>
      <c r="I258" s="393"/>
      <c r="J258" s="393"/>
      <c r="K258" s="393"/>
      <c r="L258" s="393"/>
      <c r="M258" s="393"/>
      <c r="N258" s="393"/>
      <c r="O258" s="393"/>
    </row>
    <row r="259" spans="1:15" hidden="1" x14ac:dyDescent="0.25">
      <c r="A259" s="393"/>
      <c r="B259" s="393"/>
      <c r="C259" s="393" t="s">
        <v>1196</v>
      </c>
      <c r="D259" s="474">
        <v>262800</v>
      </c>
      <c r="E259" s="474">
        <f>SUM(D259*1)</f>
        <v>262800</v>
      </c>
      <c r="F259" s="474"/>
      <c r="G259" s="474"/>
      <c r="H259" s="474"/>
      <c r="I259" s="393"/>
      <c r="J259" s="393"/>
      <c r="K259" s="393"/>
      <c r="L259" s="393"/>
      <c r="M259" s="393"/>
      <c r="N259" s="393"/>
      <c r="O259" s="393"/>
    </row>
    <row r="260" spans="1:15" hidden="1" x14ac:dyDescent="0.25">
      <c r="A260" s="393"/>
      <c r="B260" s="393"/>
      <c r="C260" s="393"/>
      <c r="D260" s="474">
        <v>262800</v>
      </c>
      <c r="E260" s="474">
        <f>SUM(D260*2)</f>
        <v>525600</v>
      </c>
      <c r="F260" s="474"/>
      <c r="G260" s="474"/>
      <c r="H260" s="474"/>
      <c r="I260" s="393"/>
      <c r="J260" s="393"/>
      <c r="K260" s="393"/>
      <c r="L260" s="393"/>
      <c r="M260" s="393"/>
      <c r="N260" s="393"/>
      <c r="O260" s="393"/>
    </row>
    <row r="261" spans="1:15" hidden="1" x14ac:dyDescent="0.25">
      <c r="A261" s="393"/>
      <c r="B261" s="393"/>
      <c r="C261" s="393"/>
      <c r="D261" s="474">
        <v>315400</v>
      </c>
      <c r="E261" s="474">
        <f>SUM(D261*9)</f>
        <v>2838600</v>
      </c>
      <c r="F261" s="474"/>
      <c r="G261" s="474"/>
      <c r="H261" s="474"/>
      <c r="I261" s="393"/>
      <c r="J261" s="393"/>
      <c r="K261" s="393"/>
      <c r="L261" s="393"/>
      <c r="M261" s="393"/>
      <c r="N261" s="393"/>
      <c r="O261" s="393"/>
    </row>
    <row r="262" spans="1:15" hidden="1" x14ac:dyDescent="0.25">
      <c r="A262" s="393"/>
      <c r="B262" s="393"/>
      <c r="C262" s="393" t="s">
        <v>828</v>
      </c>
      <c r="D262" s="474">
        <v>140000</v>
      </c>
      <c r="E262" s="474">
        <f>SUM(D262*1)</f>
        <v>140000</v>
      </c>
      <c r="F262" s="474"/>
      <c r="G262" s="474"/>
      <c r="H262" s="474"/>
      <c r="I262" s="393"/>
      <c r="J262" s="393"/>
      <c r="K262" s="393"/>
      <c r="L262" s="393"/>
      <c r="M262" s="393"/>
      <c r="N262" s="393"/>
      <c r="O262" s="393"/>
    </row>
    <row r="263" spans="1:15" hidden="1" x14ac:dyDescent="0.25">
      <c r="A263" s="393"/>
      <c r="B263" s="393"/>
      <c r="C263" s="393"/>
      <c r="D263" s="474">
        <v>140000</v>
      </c>
      <c r="E263" s="474">
        <f>SUM(D263*2)</f>
        <v>280000</v>
      </c>
      <c r="F263" s="474"/>
      <c r="G263" s="474"/>
      <c r="H263" s="474"/>
      <c r="I263" s="393"/>
      <c r="J263" s="393"/>
      <c r="K263" s="393"/>
      <c r="L263" s="393"/>
      <c r="M263" s="393"/>
      <c r="N263" s="393"/>
      <c r="O263" s="393"/>
    </row>
    <row r="264" spans="1:15" hidden="1" x14ac:dyDescent="0.25">
      <c r="A264" s="393"/>
      <c r="B264" s="393"/>
      <c r="C264" s="393"/>
      <c r="D264" s="474">
        <v>168000</v>
      </c>
      <c r="E264" s="474">
        <f>SUM(D264*9)</f>
        <v>1512000</v>
      </c>
      <c r="F264" s="474"/>
      <c r="G264" s="474"/>
      <c r="H264" s="474"/>
      <c r="I264" s="393"/>
      <c r="J264" s="393"/>
      <c r="K264" s="393"/>
      <c r="L264" s="393"/>
      <c r="M264" s="393"/>
      <c r="N264" s="393"/>
      <c r="O264" s="393"/>
    </row>
    <row r="265" spans="1:15" hidden="1" x14ac:dyDescent="0.25">
      <c r="A265" s="473" t="s">
        <v>197</v>
      </c>
      <c r="B265" s="473">
        <v>511021</v>
      </c>
      <c r="C265" s="473" t="s">
        <v>23</v>
      </c>
      <c r="D265" s="475"/>
      <c r="E265" s="475"/>
      <c r="F265" s="475">
        <f>SUM(E266:E267)</f>
        <v>402800</v>
      </c>
      <c r="G265" s="474"/>
      <c r="H265" s="474"/>
      <c r="I265" s="393"/>
      <c r="J265" s="393"/>
      <c r="K265" s="393"/>
      <c r="L265" s="393"/>
      <c r="M265" s="393"/>
      <c r="N265" s="393"/>
      <c r="O265" s="393"/>
    </row>
    <row r="266" spans="1:15" hidden="1" x14ac:dyDescent="0.25">
      <c r="A266" s="473"/>
      <c r="B266" s="473"/>
      <c r="C266" s="481" t="s">
        <v>1196</v>
      </c>
      <c r="D266" s="475" t="s">
        <v>1344</v>
      </c>
      <c r="E266" s="480">
        <v>262800</v>
      </c>
      <c r="F266" s="475"/>
      <c r="G266" s="474"/>
      <c r="H266" s="474"/>
      <c r="I266" s="393"/>
      <c r="J266" s="393"/>
      <c r="K266" s="393"/>
      <c r="L266" s="393"/>
      <c r="M266" s="393"/>
      <c r="N266" s="393"/>
      <c r="O266" s="393"/>
    </row>
    <row r="267" spans="1:15" hidden="1" x14ac:dyDescent="0.25">
      <c r="A267" s="473"/>
      <c r="B267" s="473"/>
      <c r="C267" s="481" t="s">
        <v>828</v>
      </c>
      <c r="D267" s="475"/>
      <c r="E267" s="480">
        <v>140000</v>
      </c>
      <c r="F267" s="475"/>
      <c r="G267" s="474"/>
      <c r="H267" s="474"/>
      <c r="I267" s="393"/>
      <c r="J267" s="393"/>
      <c r="K267" s="393"/>
      <c r="L267" s="393"/>
      <c r="M267" s="393"/>
      <c r="N267" s="393"/>
      <c r="O267" s="393"/>
    </row>
    <row r="268" spans="1:15" hidden="1" x14ac:dyDescent="0.25">
      <c r="A268" s="473" t="s">
        <v>204</v>
      </c>
      <c r="B268" s="473">
        <v>511061</v>
      </c>
      <c r="C268" s="473" t="s">
        <v>16</v>
      </c>
      <c r="D268" s="474"/>
      <c r="E268" s="474"/>
      <c r="F268" s="475">
        <f>SUM(E269)</f>
        <v>0</v>
      </c>
      <c r="G268" s="474"/>
      <c r="H268" s="474"/>
      <c r="I268" s="393"/>
      <c r="J268" s="393"/>
      <c r="K268" s="393"/>
      <c r="L268" s="393"/>
      <c r="M268" s="393"/>
      <c r="N268" s="393"/>
      <c r="O268" s="393"/>
    </row>
    <row r="269" spans="1:15" hidden="1" x14ac:dyDescent="0.25">
      <c r="A269" s="393"/>
      <c r="B269" s="393"/>
      <c r="C269" s="393"/>
      <c r="D269" s="474">
        <v>0</v>
      </c>
      <c r="E269" s="474">
        <f>SUM(D269*3)</f>
        <v>0</v>
      </c>
      <c r="F269" s="474"/>
      <c r="G269" s="474"/>
      <c r="H269" s="474"/>
      <c r="I269" s="393"/>
      <c r="J269" s="393"/>
      <c r="K269" s="393"/>
      <c r="L269" s="393"/>
      <c r="M269" s="393"/>
      <c r="N269" s="393"/>
      <c r="O269" s="393"/>
    </row>
    <row r="270" spans="1:15" hidden="1" x14ac:dyDescent="0.25">
      <c r="A270" s="473" t="s">
        <v>206</v>
      </c>
      <c r="B270" s="473">
        <v>511071</v>
      </c>
      <c r="C270" s="473" t="s">
        <v>205</v>
      </c>
      <c r="D270" s="475"/>
      <c r="E270" s="475"/>
      <c r="F270" s="475">
        <f>SUM(D271:D271)</f>
        <v>200000</v>
      </c>
      <c r="G270" s="474"/>
      <c r="H270" s="474"/>
      <c r="I270" s="393"/>
      <c r="J270" s="393"/>
      <c r="K270" s="393"/>
      <c r="L270" s="393"/>
      <c r="M270" s="393"/>
      <c r="N270" s="393"/>
      <c r="O270" s="393"/>
    </row>
    <row r="271" spans="1:15" hidden="1" x14ac:dyDescent="0.25">
      <c r="A271" s="393"/>
      <c r="B271" s="393"/>
      <c r="C271" s="393" t="s">
        <v>1196</v>
      </c>
      <c r="D271" s="474">
        <v>200000</v>
      </c>
      <c r="E271" s="474"/>
      <c r="F271" s="474"/>
      <c r="G271" s="474"/>
      <c r="H271" s="474"/>
      <c r="I271" s="393"/>
      <c r="J271" s="393"/>
      <c r="K271" s="393"/>
      <c r="L271" s="393"/>
      <c r="M271" s="393"/>
      <c r="N271" s="393"/>
      <c r="O271" s="393"/>
    </row>
    <row r="272" spans="1:15" hidden="1" x14ac:dyDescent="0.25">
      <c r="A272" s="473" t="s">
        <v>208</v>
      </c>
      <c r="B272" s="473">
        <v>511091</v>
      </c>
      <c r="C272" s="473" t="s">
        <v>34</v>
      </c>
      <c r="D272" s="475"/>
      <c r="E272" s="475"/>
      <c r="F272" s="475">
        <f>SUM(E273)</f>
        <v>120000</v>
      </c>
      <c r="G272" s="474"/>
      <c r="H272" s="474"/>
      <c r="I272" s="393"/>
      <c r="J272" s="393"/>
      <c r="K272" s="393"/>
      <c r="L272" s="393"/>
      <c r="M272" s="393"/>
      <c r="N272" s="393"/>
      <c r="O272" s="393"/>
    </row>
    <row r="273" spans="1:15" hidden="1" x14ac:dyDescent="0.25">
      <c r="A273" s="393"/>
      <c r="B273" s="393"/>
      <c r="C273" s="393" t="s">
        <v>1196</v>
      </c>
      <c r="D273" s="474">
        <v>10000</v>
      </c>
      <c r="E273" s="474">
        <f>SUM(D273*12)</f>
        <v>120000</v>
      </c>
      <c r="F273" s="474"/>
      <c r="G273" s="474"/>
      <c r="H273" s="474"/>
      <c r="I273" s="393"/>
      <c r="J273" s="393"/>
      <c r="K273" s="393"/>
      <c r="L273" s="393"/>
      <c r="M273" s="393"/>
      <c r="N273" s="393"/>
      <c r="O273" s="393"/>
    </row>
    <row r="274" spans="1:15" hidden="1" x14ac:dyDescent="0.25">
      <c r="A274" s="473" t="s">
        <v>210</v>
      </c>
      <c r="B274" s="473">
        <v>5111101</v>
      </c>
      <c r="C274" s="473" t="s">
        <v>878</v>
      </c>
      <c r="D274" s="475"/>
      <c r="E274" s="475"/>
      <c r="F274" s="475">
        <f>SUM(D275:D275)</f>
        <v>0</v>
      </c>
      <c r="G274" s="474"/>
      <c r="H274" s="474"/>
      <c r="I274" s="393"/>
      <c r="J274" s="393"/>
      <c r="K274" s="393"/>
      <c r="L274" s="393"/>
      <c r="M274" s="393"/>
      <c r="N274" s="393"/>
      <c r="O274" s="393"/>
    </row>
    <row r="275" spans="1:15" hidden="1" x14ac:dyDescent="0.25">
      <c r="A275" s="393"/>
      <c r="B275" s="393"/>
      <c r="C275" s="393"/>
      <c r="D275" s="474"/>
      <c r="E275" s="474"/>
      <c r="F275" s="474"/>
      <c r="G275" s="474"/>
      <c r="H275" s="474"/>
      <c r="I275" s="393"/>
      <c r="J275" s="393"/>
      <c r="K275" s="393"/>
      <c r="L275" s="393"/>
      <c r="M275" s="393"/>
      <c r="N275" s="393"/>
      <c r="O275" s="393"/>
    </row>
    <row r="276" spans="1:15" hidden="1" x14ac:dyDescent="0.25">
      <c r="A276" s="478" t="s">
        <v>912</v>
      </c>
      <c r="B276" s="491"/>
      <c r="C276" s="487"/>
      <c r="D276" s="489"/>
      <c r="E276" s="489"/>
      <c r="F276" s="489"/>
      <c r="G276" s="479">
        <f>SUM(F258:F275)</f>
        <v>6281800</v>
      </c>
      <c r="H276" s="480"/>
      <c r="I276" s="481"/>
      <c r="J276" s="481"/>
      <c r="K276" s="393"/>
      <c r="L276" s="393"/>
      <c r="M276" s="393"/>
      <c r="N276" s="393"/>
      <c r="O276" s="393"/>
    </row>
    <row r="277" spans="1:15" hidden="1" x14ac:dyDescent="0.25">
      <c r="A277" s="473" t="s">
        <v>228</v>
      </c>
      <c r="B277" s="393"/>
      <c r="C277" s="473" t="s">
        <v>913</v>
      </c>
      <c r="D277" s="474"/>
      <c r="E277" s="474"/>
      <c r="F277" s="475">
        <f>SUM(E278+E283)</f>
        <v>851174</v>
      </c>
      <c r="G277" s="475"/>
      <c r="H277" s="474"/>
      <c r="I277" s="393"/>
      <c r="J277" s="393"/>
      <c r="K277" s="393"/>
      <c r="L277" s="393"/>
      <c r="M277" s="393"/>
      <c r="N277" s="393"/>
      <c r="O277" s="393"/>
    </row>
    <row r="278" spans="1:15" hidden="1" x14ac:dyDescent="0.25">
      <c r="A278" s="473" t="s">
        <v>228</v>
      </c>
      <c r="B278" s="393">
        <v>5231</v>
      </c>
      <c r="C278" s="393" t="s">
        <v>1180</v>
      </c>
      <c r="D278" s="474"/>
      <c r="E278" s="475">
        <f>SUM(E279:E282)</f>
        <v>821174</v>
      </c>
      <c r="F278" s="474"/>
      <c r="G278" s="474"/>
      <c r="H278" s="474"/>
      <c r="I278" s="393"/>
      <c r="J278" s="393"/>
      <c r="K278" s="393"/>
      <c r="L278" s="393"/>
      <c r="M278" s="393"/>
      <c r="N278" s="393"/>
      <c r="O278" s="393"/>
    </row>
    <row r="279" spans="1:15" hidden="1" x14ac:dyDescent="0.25">
      <c r="A279" s="473"/>
      <c r="B279" s="393"/>
      <c r="C279" s="393" t="s">
        <v>1350</v>
      </c>
      <c r="D279" s="474">
        <f>SUM(E260+E261+E263+E264)</f>
        <v>5156200</v>
      </c>
      <c r="E279" s="474">
        <f>SUM(D279*0.13)</f>
        <v>670306</v>
      </c>
      <c r="F279" s="474"/>
      <c r="G279" s="474"/>
      <c r="H279" s="474"/>
      <c r="I279" s="393"/>
      <c r="J279" s="393"/>
      <c r="K279" s="393"/>
      <c r="L279" s="393"/>
      <c r="M279" s="393"/>
      <c r="N279" s="393"/>
      <c r="O279" s="393"/>
    </row>
    <row r="280" spans="1:15" hidden="1" x14ac:dyDescent="0.25">
      <c r="A280" s="393"/>
      <c r="B280" s="393"/>
      <c r="C280" s="485" t="s">
        <v>1181</v>
      </c>
      <c r="D280" s="474">
        <f>SUM(F270)</f>
        <v>200000</v>
      </c>
      <c r="E280" s="474">
        <f>SUM(D280*0.13)</f>
        <v>26000</v>
      </c>
      <c r="F280" s="474"/>
      <c r="G280" s="474"/>
      <c r="H280" s="474"/>
      <c r="I280" s="393"/>
      <c r="J280" s="393"/>
      <c r="K280" s="393"/>
      <c r="L280" s="393"/>
      <c r="M280" s="393"/>
      <c r="N280" s="393"/>
      <c r="O280" s="393"/>
    </row>
    <row r="281" spans="1:15" hidden="1" x14ac:dyDescent="0.25">
      <c r="A281" s="393"/>
      <c r="B281" s="393"/>
      <c r="C281" s="485" t="s">
        <v>1348</v>
      </c>
      <c r="D281" s="474">
        <f>SUM(E259+E262)</f>
        <v>402800</v>
      </c>
      <c r="E281" s="474">
        <f>SUM(D281*0.155)</f>
        <v>62434</v>
      </c>
      <c r="F281" s="474"/>
      <c r="G281" s="474"/>
      <c r="H281" s="474"/>
      <c r="I281" s="393"/>
      <c r="J281" s="393"/>
      <c r="K281" s="393"/>
      <c r="L281" s="393"/>
      <c r="M281" s="393"/>
      <c r="N281" s="393"/>
      <c r="O281" s="393"/>
    </row>
    <row r="282" spans="1:15" hidden="1" x14ac:dyDescent="0.25">
      <c r="A282" s="393"/>
      <c r="B282" s="393"/>
      <c r="C282" s="485" t="s">
        <v>1349</v>
      </c>
      <c r="D282" s="474">
        <f>SUM(F265)</f>
        <v>402800</v>
      </c>
      <c r="E282" s="474">
        <f>SUM(D282*0.155)</f>
        <v>62434</v>
      </c>
      <c r="F282" s="474"/>
      <c r="G282" s="474"/>
      <c r="H282" s="474"/>
      <c r="I282" s="393"/>
      <c r="J282" s="393"/>
      <c r="K282" s="393"/>
      <c r="L282" s="393"/>
      <c r="M282" s="393"/>
      <c r="N282" s="393"/>
      <c r="O282" s="393"/>
    </row>
    <row r="283" spans="1:15" hidden="1" x14ac:dyDescent="0.25">
      <c r="A283" s="393"/>
      <c r="B283" s="393">
        <v>5237</v>
      </c>
      <c r="C283" s="393" t="s">
        <v>914</v>
      </c>
      <c r="D283" s="474"/>
      <c r="E283" s="475">
        <f>SUM(F270*0.15)</f>
        <v>30000</v>
      </c>
      <c r="F283" s="474"/>
      <c r="G283" s="474"/>
      <c r="H283" s="474"/>
      <c r="I283" s="393"/>
      <c r="J283" s="393"/>
      <c r="K283" s="393"/>
      <c r="L283" s="393"/>
      <c r="M283" s="393"/>
      <c r="N283" s="393"/>
      <c r="O283" s="393"/>
    </row>
    <row r="284" spans="1:15" hidden="1" x14ac:dyDescent="0.25">
      <c r="A284" s="393"/>
      <c r="B284" s="393"/>
      <c r="C284" s="393" t="s">
        <v>915</v>
      </c>
      <c r="D284" s="474"/>
      <c r="E284" s="474"/>
      <c r="F284" s="474"/>
      <c r="G284" s="474"/>
      <c r="H284" s="474"/>
      <c r="I284" s="393"/>
      <c r="J284" s="393"/>
      <c r="K284" s="393"/>
      <c r="L284" s="393"/>
      <c r="M284" s="393"/>
      <c r="N284" s="393"/>
      <c r="O284" s="393"/>
    </row>
    <row r="285" spans="1:15" hidden="1" x14ac:dyDescent="0.25">
      <c r="A285" s="478" t="s">
        <v>916</v>
      </c>
      <c r="B285" s="491"/>
      <c r="C285" s="491"/>
      <c r="D285" s="489"/>
      <c r="E285" s="489"/>
      <c r="F285" s="489"/>
      <c r="G285" s="479">
        <f>SUM(F277)</f>
        <v>851174</v>
      </c>
      <c r="H285" s="480"/>
      <c r="I285" s="481"/>
      <c r="J285" s="481"/>
      <c r="K285" s="393"/>
      <c r="L285" s="393"/>
      <c r="M285" s="393"/>
      <c r="N285" s="393"/>
      <c r="O285" s="393"/>
    </row>
    <row r="286" spans="1:15" hidden="1" x14ac:dyDescent="0.25">
      <c r="A286" s="473" t="s">
        <v>229</v>
      </c>
      <c r="B286" s="473">
        <v>53111</v>
      </c>
      <c r="C286" s="473" t="s">
        <v>157</v>
      </c>
      <c r="D286" s="474"/>
      <c r="E286" s="474"/>
      <c r="F286" s="475">
        <f>SUM(D287:D289)</f>
        <v>44000</v>
      </c>
      <c r="G286" s="474"/>
      <c r="H286" s="474"/>
      <c r="I286" s="393"/>
      <c r="J286" s="393"/>
      <c r="K286" s="393"/>
      <c r="L286" s="393"/>
      <c r="M286" s="393"/>
      <c r="N286" s="393"/>
      <c r="O286" s="393"/>
    </row>
    <row r="287" spans="1:15" hidden="1" x14ac:dyDescent="0.25">
      <c r="A287" s="393"/>
      <c r="B287" s="393"/>
      <c r="C287" s="393" t="s">
        <v>1182</v>
      </c>
      <c r="D287" s="474">
        <v>33000</v>
      </c>
      <c r="E287" s="474"/>
      <c r="F287" s="474"/>
      <c r="G287" s="474"/>
      <c r="H287" s="474"/>
      <c r="I287" s="393"/>
      <c r="J287" s="393"/>
      <c r="K287" s="393"/>
      <c r="L287" s="393"/>
      <c r="M287" s="393"/>
      <c r="N287" s="393"/>
      <c r="O287" s="393"/>
    </row>
    <row r="288" spans="1:15" hidden="1" x14ac:dyDescent="0.25">
      <c r="A288" s="393"/>
      <c r="B288" s="393"/>
      <c r="C288" s="393" t="s">
        <v>1183</v>
      </c>
      <c r="D288" s="474">
        <v>5000</v>
      </c>
      <c r="E288" s="474"/>
      <c r="F288" s="474"/>
      <c r="G288" s="474"/>
      <c r="H288" s="474"/>
      <c r="I288" s="393"/>
      <c r="J288" s="393"/>
      <c r="K288" s="393"/>
      <c r="L288" s="393"/>
      <c r="M288" s="393"/>
      <c r="N288" s="393"/>
      <c r="O288" s="393"/>
    </row>
    <row r="289" spans="1:15" hidden="1" x14ac:dyDescent="0.25">
      <c r="A289" s="393"/>
      <c r="B289" s="393"/>
      <c r="C289" s="393" t="s">
        <v>1230</v>
      </c>
      <c r="D289" s="474">
        <v>6000</v>
      </c>
      <c r="E289" s="474"/>
      <c r="F289" s="474"/>
      <c r="G289" s="474"/>
      <c r="H289" s="474"/>
      <c r="I289" s="393"/>
      <c r="J289" s="393"/>
      <c r="K289" s="393"/>
      <c r="L289" s="393"/>
      <c r="M289" s="393"/>
      <c r="N289" s="393"/>
      <c r="O289" s="393"/>
    </row>
    <row r="290" spans="1:15" hidden="1" x14ac:dyDescent="0.25">
      <c r="A290" s="473" t="s">
        <v>230</v>
      </c>
      <c r="B290" s="473">
        <v>53121</v>
      </c>
      <c r="C290" s="473" t="s">
        <v>138</v>
      </c>
      <c r="D290" s="475"/>
      <c r="E290" s="475"/>
      <c r="F290" s="475">
        <f>SUM(D291:D292)</f>
        <v>110000</v>
      </c>
      <c r="G290" s="475"/>
      <c r="H290" s="475"/>
      <c r="I290" s="473"/>
      <c r="J290" s="473"/>
      <c r="K290" s="393"/>
      <c r="L290" s="393"/>
      <c r="M290" s="393"/>
      <c r="N290" s="393"/>
      <c r="O290" s="393"/>
    </row>
    <row r="291" spans="1:15" hidden="1" x14ac:dyDescent="0.25">
      <c r="A291" s="393"/>
      <c r="B291" s="393"/>
      <c r="C291" s="393" t="s">
        <v>893</v>
      </c>
      <c r="D291" s="474">
        <v>100000</v>
      </c>
      <c r="E291" s="474"/>
      <c r="F291" s="474"/>
      <c r="G291" s="474"/>
      <c r="H291" s="474"/>
      <c r="I291" s="393"/>
      <c r="J291" s="393"/>
      <c r="K291" s="393"/>
      <c r="L291" s="393"/>
      <c r="M291" s="393"/>
      <c r="N291" s="393"/>
      <c r="O291" s="393"/>
    </row>
    <row r="292" spans="1:15" hidden="1" x14ac:dyDescent="0.25">
      <c r="A292" s="393"/>
      <c r="B292" s="393"/>
      <c r="C292" s="393" t="s">
        <v>1308</v>
      </c>
      <c r="D292" s="474">
        <v>10000</v>
      </c>
      <c r="E292" s="474"/>
      <c r="F292" s="474"/>
      <c r="G292" s="474"/>
      <c r="H292" s="474"/>
      <c r="I292" s="393"/>
      <c r="J292" s="393"/>
      <c r="K292" s="393"/>
      <c r="L292" s="393"/>
      <c r="M292" s="393"/>
      <c r="N292" s="393"/>
      <c r="O292" s="393"/>
    </row>
    <row r="293" spans="1:15" hidden="1" x14ac:dyDescent="0.25">
      <c r="A293" s="473" t="s">
        <v>235</v>
      </c>
      <c r="B293" s="473">
        <v>53211</v>
      </c>
      <c r="C293" s="473" t="s">
        <v>894</v>
      </c>
      <c r="D293" s="475"/>
      <c r="E293" s="475"/>
      <c r="F293" s="475">
        <f>SUM(E294:E298)</f>
        <v>526000</v>
      </c>
      <c r="G293" s="475"/>
      <c r="H293" s="475"/>
      <c r="I293" s="473"/>
      <c r="J293" s="473"/>
      <c r="K293" s="393"/>
      <c r="L293" s="393"/>
      <c r="M293" s="393"/>
      <c r="N293" s="393"/>
      <c r="O293" s="393"/>
    </row>
    <row r="294" spans="1:15" hidden="1" x14ac:dyDescent="0.25">
      <c r="A294" s="393"/>
      <c r="B294" s="393"/>
      <c r="C294" s="393" t="s">
        <v>1194</v>
      </c>
      <c r="D294" s="474">
        <v>19000</v>
      </c>
      <c r="E294" s="474">
        <f>SUM(D294*4)</f>
        <v>76000</v>
      </c>
      <c r="F294" s="474"/>
      <c r="G294" s="474"/>
      <c r="H294" s="474"/>
      <c r="I294" s="393"/>
      <c r="J294" s="393"/>
      <c r="K294" s="393"/>
      <c r="L294" s="393"/>
      <c r="M294" s="393"/>
      <c r="N294" s="393"/>
      <c r="O294" s="393"/>
    </row>
    <row r="295" spans="1:15" hidden="1" x14ac:dyDescent="0.25">
      <c r="A295" s="393"/>
      <c r="B295" s="393"/>
      <c r="C295" s="393" t="s">
        <v>1298</v>
      </c>
      <c r="D295" s="474">
        <v>25000</v>
      </c>
      <c r="E295" s="474">
        <f>SUM(D295*12)</f>
        <v>300000</v>
      </c>
      <c r="F295" s="474"/>
      <c r="G295" s="474"/>
      <c r="H295" s="474"/>
      <c r="I295" s="393"/>
      <c r="J295" s="393"/>
      <c r="K295" s="393"/>
      <c r="L295" s="393"/>
      <c r="M295" s="393"/>
      <c r="N295" s="393"/>
      <c r="O295" s="393"/>
    </row>
    <row r="296" spans="1:15" hidden="1" x14ac:dyDescent="0.25">
      <c r="A296" s="393"/>
      <c r="B296" s="393"/>
      <c r="C296" s="393" t="s">
        <v>1313</v>
      </c>
      <c r="D296" s="474"/>
      <c r="E296" s="474">
        <v>14000</v>
      </c>
      <c r="F296" s="474"/>
      <c r="G296" s="474"/>
      <c r="H296" s="474"/>
      <c r="I296" s="393"/>
      <c r="J296" s="393"/>
      <c r="K296" s="393"/>
      <c r="L296" s="393"/>
      <c r="M296" s="393"/>
      <c r="N296" s="393"/>
      <c r="O296" s="393"/>
    </row>
    <row r="297" spans="1:15" hidden="1" x14ac:dyDescent="0.25">
      <c r="A297" s="393"/>
      <c r="B297" s="393"/>
      <c r="C297" s="393" t="s">
        <v>1186</v>
      </c>
      <c r="D297" s="474">
        <v>16000</v>
      </c>
      <c r="E297" s="474">
        <f>SUM(D297*4)</f>
        <v>64000</v>
      </c>
      <c r="F297" s="474"/>
      <c r="G297" s="474"/>
      <c r="H297" s="474"/>
      <c r="I297" s="393"/>
      <c r="J297" s="393"/>
      <c r="K297" s="393"/>
      <c r="L297" s="393"/>
      <c r="M297" s="393"/>
      <c r="N297" s="393"/>
      <c r="O297" s="393"/>
    </row>
    <row r="298" spans="1:15" hidden="1" x14ac:dyDescent="0.25">
      <c r="A298" s="393"/>
      <c r="B298" s="393"/>
      <c r="C298" s="393" t="s">
        <v>1187</v>
      </c>
      <c r="D298" s="474">
        <v>18000</v>
      </c>
      <c r="E298" s="474">
        <f>SUM(D298*4)</f>
        <v>72000</v>
      </c>
      <c r="F298" s="474"/>
      <c r="G298" s="474"/>
      <c r="H298" s="474"/>
      <c r="I298" s="393"/>
      <c r="J298" s="393"/>
      <c r="K298" s="393"/>
      <c r="L298" s="393"/>
      <c r="M298" s="393"/>
      <c r="N298" s="393"/>
      <c r="O298" s="393"/>
    </row>
    <row r="299" spans="1:15" hidden="1" x14ac:dyDescent="0.25">
      <c r="A299" s="473" t="s">
        <v>237</v>
      </c>
      <c r="B299" s="473">
        <v>53221</v>
      </c>
      <c r="C299" s="473" t="s">
        <v>917</v>
      </c>
      <c r="D299" s="475"/>
      <c r="E299" s="475"/>
      <c r="F299" s="475">
        <f>SUM(E300)</f>
        <v>96000</v>
      </c>
      <c r="G299" s="475"/>
      <c r="H299" s="475"/>
      <c r="I299" s="473"/>
      <c r="J299" s="473"/>
      <c r="K299" s="393"/>
      <c r="L299" s="393"/>
      <c r="M299" s="393"/>
      <c r="N299" s="393"/>
      <c r="O299" s="393"/>
    </row>
    <row r="300" spans="1:15" hidden="1" x14ac:dyDescent="0.25">
      <c r="A300" s="393"/>
      <c r="B300" s="393"/>
      <c r="C300" s="393" t="s">
        <v>1027</v>
      </c>
      <c r="D300" s="474">
        <v>8000</v>
      </c>
      <c r="E300" s="474">
        <f>SUM(D300*12)</f>
        <v>96000</v>
      </c>
      <c r="F300" s="474"/>
      <c r="G300" s="474"/>
      <c r="H300" s="474"/>
      <c r="I300" s="393"/>
      <c r="J300" s="393"/>
      <c r="K300" s="393"/>
      <c r="L300" s="393"/>
      <c r="M300" s="393"/>
      <c r="N300" s="393"/>
      <c r="O300" s="393"/>
    </row>
    <row r="301" spans="1:15" hidden="1" x14ac:dyDescent="0.25">
      <c r="A301" s="473" t="s">
        <v>243</v>
      </c>
      <c r="B301" s="473">
        <v>53341</v>
      </c>
      <c r="C301" s="473" t="s">
        <v>918</v>
      </c>
      <c r="D301" s="475"/>
      <c r="E301" s="475"/>
      <c r="F301" s="475">
        <f>SUM(E302)</f>
        <v>10000</v>
      </c>
      <c r="G301" s="475"/>
      <c r="H301" s="475"/>
      <c r="I301" s="473"/>
      <c r="J301" s="473"/>
      <c r="K301" s="393"/>
      <c r="L301" s="393"/>
      <c r="M301" s="393"/>
      <c r="N301" s="393"/>
      <c r="O301" s="393"/>
    </row>
    <row r="302" spans="1:15" hidden="1" x14ac:dyDescent="0.25">
      <c r="A302" s="473"/>
      <c r="B302" s="473"/>
      <c r="C302" s="473"/>
      <c r="D302" s="475"/>
      <c r="E302" s="474">
        <v>10000</v>
      </c>
      <c r="F302" s="475"/>
      <c r="G302" s="475"/>
      <c r="H302" s="475"/>
      <c r="I302" s="473"/>
      <c r="J302" s="473"/>
      <c r="K302" s="393"/>
      <c r="L302" s="393"/>
      <c r="M302" s="393"/>
      <c r="N302" s="393"/>
      <c r="O302" s="393"/>
    </row>
    <row r="303" spans="1:15" hidden="1" x14ac:dyDescent="0.25">
      <c r="A303" s="473" t="s">
        <v>244</v>
      </c>
      <c r="B303" s="473">
        <v>53351</v>
      </c>
      <c r="C303" s="473" t="s">
        <v>919</v>
      </c>
      <c r="D303" s="475"/>
      <c r="E303" s="475"/>
      <c r="F303" s="475">
        <f>SUM(E304)</f>
        <v>0</v>
      </c>
      <c r="G303" s="475"/>
      <c r="H303" s="475"/>
      <c r="I303" s="473"/>
      <c r="J303" s="473"/>
      <c r="K303" s="393"/>
      <c r="L303" s="393"/>
      <c r="M303" s="393"/>
      <c r="N303" s="393"/>
      <c r="O303" s="393"/>
    </row>
    <row r="304" spans="1:15" hidden="1" x14ac:dyDescent="0.25">
      <c r="A304" s="393"/>
      <c r="B304" s="393"/>
      <c r="C304" s="393">
        <v>0</v>
      </c>
      <c r="D304" s="474"/>
      <c r="E304" s="474">
        <v>0</v>
      </c>
      <c r="F304" s="474"/>
      <c r="G304" s="474"/>
      <c r="H304" s="474"/>
      <c r="I304" s="393"/>
      <c r="J304" s="393"/>
      <c r="K304" s="393"/>
      <c r="L304" s="393"/>
      <c r="M304" s="393"/>
      <c r="N304" s="393"/>
      <c r="O304" s="393"/>
    </row>
    <row r="305" spans="1:15" hidden="1" x14ac:dyDescent="0.25">
      <c r="A305" s="473" t="s">
        <v>246</v>
      </c>
      <c r="B305" s="473">
        <v>53361</v>
      </c>
      <c r="C305" s="473" t="s">
        <v>920</v>
      </c>
      <c r="D305" s="475"/>
      <c r="E305" s="475"/>
      <c r="F305" s="475">
        <f>SUM(E306:E307)</f>
        <v>98000</v>
      </c>
      <c r="G305" s="475"/>
      <c r="H305" s="475"/>
      <c r="I305" s="473"/>
      <c r="J305" s="473"/>
      <c r="K305" s="393"/>
      <c r="L305" s="393"/>
      <c r="M305" s="393"/>
      <c r="N305" s="393"/>
      <c r="O305" s="393"/>
    </row>
    <row r="306" spans="1:15" hidden="1" x14ac:dyDescent="0.25">
      <c r="A306" s="473"/>
      <c r="B306" s="473"/>
      <c r="C306" s="481" t="s">
        <v>1315</v>
      </c>
      <c r="D306" s="480"/>
      <c r="E306" s="480">
        <v>10000</v>
      </c>
      <c r="F306" s="475"/>
      <c r="G306" s="475"/>
      <c r="H306" s="475"/>
      <c r="I306" s="473"/>
      <c r="J306" s="473"/>
      <c r="K306" s="393"/>
      <c r="L306" s="393"/>
      <c r="M306" s="393"/>
      <c r="N306" s="393"/>
      <c r="O306" s="393"/>
    </row>
    <row r="307" spans="1:15" hidden="1" x14ac:dyDescent="0.25">
      <c r="A307" s="393"/>
      <c r="B307" s="393"/>
      <c r="C307" s="393" t="s">
        <v>1314</v>
      </c>
      <c r="D307" s="474">
        <v>22000</v>
      </c>
      <c r="E307" s="474">
        <f>SUM(D307*4)</f>
        <v>88000</v>
      </c>
      <c r="F307" s="474"/>
      <c r="G307" s="474"/>
      <c r="H307" s="474"/>
      <c r="I307" s="393"/>
      <c r="J307" s="393"/>
      <c r="K307" s="393"/>
      <c r="L307" s="393"/>
      <c r="M307" s="393"/>
      <c r="N307" s="393"/>
      <c r="O307" s="393"/>
    </row>
    <row r="308" spans="1:15" hidden="1" x14ac:dyDescent="0.25">
      <c r="A308" s="473" t="s">
        <v>247</v>
      </c>
      <c r="B308" s="473">
        <v>53371</v>
      </c>
      <c r="C308" s="473" t="s">
        <v>134</v>
      </c>
      <c r="D308" s="475"/>
      <c r="E308" s="475"/>
      <c r="F308" s="475">
        <f>SUM(E309:E312)</f>
        <v>600000</v>
      </c>
      <c r="G308" s="475"/>
      <c r="H308" s="475"/>
      <c r="I308" s="473"/>
      <c r="J308" s="473"/>
      <c r="K308" s="393"/>
      <c r="L308" s="393"/>
      <c r="M308" s="393"/>
      <c r="N308" s="393"/>
      <c r="O308" s="393"/>
    </row>
    <row r="309" spans="1:15" hidden="1" x14ac:dyDescent="0.25">
      <c r="A309" s="473"/>
      <c r="B309" s="473"/>
      <c r="C309" s="393" t="s">
        <v>1197</v>
      </c>
      <c r="D309" s="480">
        <v>35000</v>
      </c>
      <c r="E309" s="480">
        <f>SUM(D309*12)</f>
        <v>420000</v>
      </c>
      <c r="F309" s="475"/>
      <c r="G309" s="475"/>
      <c r="H309" s="475"/>
      <c r="I309" s="473"/>
      <c r="J309" s="473"/>
      <c r="K309" s="393"/>
      <c r="L309" s="393"/>
      <c r="M309" s="393"/>
      <c r="N309" s="393"/>
      <c r="O309" s="393"/>
    </row>
    <row r="310" spans="1:15" hidden="1" x14ac:dyDescent="0.25">
      <c r="A310" s="393"/>
      <c r="B310" s="393"/>
      <c r="C310" s="393" t="s">
        <v>1190</v>
      </c>
      <c r="D310" s="474"/>
      <c r="E310" s="474">
        <v>40000</v>
      </c>
      <c r="F310" s="474"/>
      <c r="G310" s="474"/>
      <c r="H310" s="474"/>
      <c r="I310" s="393"/>
      <c r="J310" s="393"/>
      <c r="K310" s="393"/>
      <c r="L310" s="393"/>
      <c r="M310" s="393"/>
      <c r="N310" s="393"/>
      <c r="O310" s="393"/>
    </row>
    <row r="311" spans="1:15" hidden="1" x14ac:dyDescent="0.25">
      <c r="A311" s="393"/>
      <c r="B311" s="393"/>
      <c r="C311" s="393" t="s">
        <v>1034</v>
      </c>
      <c r="D311" s="474"/>
      <c r="E311" s="474">
        <v>110000</v>
      </c>
      <c r="F311" s="474"/>
      <c r="G311" s="474"/>
      <c r="H311" s="474"/>
      <c r="I311" s="393"/>
      <c r="J311" s="393"/>
      <c r="K311" s="393"/>
      <c r="L311" s="393"/>
      <c r="M311" s="393"/>
      <c r="N311" s="393"/>
      <c r="O311" s="393"/>
    </row>
    <row r="312" spans="1:15" hidden="1" x14ac:dyDescent="0.25">
      <c r="A312" s="393"/>
      <c r="B312" s="393"/>
      <c r="C312" s="393" t="s">
        <v>1191</v>
      </c>
      <c r="D312" s="474"/>
      <c r="E312" s="474">
        <v>30000</v>
      </c>
      <c r="F312" s="474"/>
      <c r="G312" s="474"/>
      <c r="H312" s="474"/>
      <c r="I312" s="393"/>
      <c r="J312" s="393"/>
      <c r="K312" s="393"/>
      <c r="L312" s="393"/>
      <c r="M312" s="393"/>
      <c r="N312" s="393"/>
      <c r="O312" s="393"/>
    </row>
    <row r="313" spans="1:15" hidden="1" x14ac:dyDescent="0.25">
      <c r="A313" s="473" t="s">
        <v>250</v>
      </c>
      <c r="B313" s="473">
        <v>53411</v>
      </c>
      <c r="C313" s="473" t="s">
        <v>155</v>
      </c>
      <c r="D313" s="475"/>
      <c r="E313" s="475"/>
      <c r="F313" s="475">
        <f>SUM(E314:E314)</f>
        <v>20000</v>
      </c>
      <c r="G313" s="475"/>
      <c r="H313" s="475"/>
      <c r="I313" s="473"/>
      <c r="J313" s="473"/>
      <c r="K313" s="393"/>
      <c r="L313" s="393"/>
      <c r="M313" s="393"/>
      <c r="N313" s="393"/>
      <c r="O313" s="393"/>
    </row>
    <row r="314" spans="1:15" hidden="1" x14ac:dyDescent="0.25">
      <c r="A314" s="393"/>
      <c r="B314" s="393"/>
      <c r="C314" s="393" t="s">
        <v>1178</v>
      </c>
      <c r="D314" s="474"/>
      <c r="E314" s="474">
        <v>20000</v>
      </c>
      <c r="F314" s="474"/>
      <c r="G314" s="474"/>
      <c r="H314" s="474"/>
      <c r="I314" s="393"/>
      <c r="J314" s="393"/>
      <c r="K314" s="393"/>
      <c r="L314" s="393"/>
      <c r="M314" s="393"/>
      <c r="N314" s="393"/>
      <c r="O314" s="393"/>
    </row>
    <row r="315" spans="1:15" hidden="1" x14ac:dyDescent="0.25">
      <c r="A315" s="473" t="s">
        <v>255</v>
      </c>
      <c r="B315" s="473">
        <v>53511</v>
      </c>
      <c r="C315" s="473" t="s">
        <v>921</v>
      </c>
      <c r="D315" s="475"/>
      <c r="E315" s="475"/>
      <c r="F315" s="475">
        <v>340000</v>
      </c>
      <c r="G315" s="475"/>
      <c r="H315" s="475"/>
      <c r="I315" s="473"/>
      <c r="J315" s="473"/>
      <c r="K315" s="393"/>
      <c r="L315" s="393"/>
      <c r="M315" s="393"/>
      <c r="N315" s="393"/>
      <c r="O315" s="393"/>
    </row>
    <row r="316" spans="1:15" hidden="1" x14ac:dyDescent="0.25">
      <c r="A316" s="473" t="s">
        <v>262</v>
      </c>
      <c r="B316" s="473">
        <v>53551</v>
      </c>
      <c r="C316" s="473" t="s">
        <v>175</v>
      </c>
      <c r="D316" s="475"/>
      <c r="E316" s="475"/>
      <c r="F316" s="475"/>
      <c r="G316" s="475"/>
      <c r="H316" s="475"/>
      <c r="I316" s="473"/>
      <c r="J316" s="473"/>
      <c r="K316" s="393"/>
      <c r="L316" s="393"/>
      <c r="M316" s="393"/>
      <c r="N316" s="393"/>
      <c r="O316" s="393"/>
    </row>
    <row r="317" spans="1:15" hidden="1" x14ac:dyDescent="0.25">
      <c r="A317" s="473"/>
      <c r="B317" s="473"/>
      <c r="C317" s="473" t="s">
        <v>1192</v>
      </c>
      <c r="D317" s="475"/>
      <c r="E317" s="474">
        <v>1000</v>
      </c>
      <c r="F317" s="475">
        <f>SUM(E317)</f>
        <v>1000</v>
      </c>
      <c r="G317" s="475"/>
      <c r="H317" s="475"/>
      <c r="I317" s="473"/>
      <c r="J317" s="473"/>
      <c r="K317" s="393"/>
      <c r="L317" s="393"/>
      <c r="M317" s="393"/>
      <c r="N317" s="393"/>
      <c r="O317" s="393"/>
    </row>
    <row r="318" spans="1:15" hidden="1" x14ac:dyDescent="0.25">
      <c r="A318" s="497" t="s">
        <v>922</v>
      </c>
      <c r="B318" s="502"/>
      <c r="C318" s="502"/>
      <c r="D318" s="503"/>
      <c r="E318" s="503"/>
      <c r="F318" s="503"/>
      <c r="G318" s="498">
        <f>SUM(F286:F317)</f>
        <v>1845000</v>
      </c>
      <c r="H318" s="499"/>
      <c r="I318" s="473"/>
      <c r="J318" s="473"/>
      <c r="K318" s="393"/>
      <c r="L318" s="393"/>
      <c r="M318" s="393"/>
      <c r="N318" s="393"/>
      <c r="O318" s="393"/>
    </row>
    <row r="319" spans="1:15" hidden="1" x14ac:dyDescent="0.25">
      <c r="A319" s="502"/>
      <c r="B319" s="502"/>
      <c r="C319" s="502"/>
      <c r="D319" s="503"/>
      <c r="E319" s="503"/>
      <c r="F319" s="503"/>
      <c r="G319" s="503"/>
      <c r="H319" s="499"/>
      <c r="I319" s="473"/>
      <c r="J319" s="473"/>
      <c r="K319" s="393"/>
      <c r="L319" s="393"/>
      <c r="M319" s="393"/>
      <c r="N319" s="393"/>
      <c r="O319" s="393"/>
    </row>
    <row r="320" spans="1:15" hidden="1" x14ac:dyDescent="0.25">
      <c r="A320" s="487" t="s">
        <v>317</v>
      </c>
      <c r="B320" s="487">
        <v>5641</v>
      </c>
      <c r="C320" s="487" t="s">
        <v>1269</v>
      </c>
      <c r="D320" s="488"/>
      <c r="E320" s="488"/>
      <c r="F320" s="488">
        <f>SUM(E321)</f>
        <v>0</v>
      </c>
      <c r="G320" s="489"/>
      <c r="H320" s="499"/>
      <c r="I320" s="473"/>
      <c r="J320" s="473"/>
      <c r="K320" s="393"/>
      <c r="L320" s="393"/>
      <c r="M320" s="393"/>
      <c r="N320" s="393"/>
      <c r="O320" s="393"/>
    </row>
    <row r="321" spans="1:15" hidden="1" x14ac:dyDescent="0.25">
      <c r="A321" s="491"/>
      <c r="B321" s="491"/>
      <c r="C321" s="491"/>
      <c r="D321" s="489"/>
      <c r="E321" s="489"/>
      <c r="F321" s="489"/>
      <c r="G321" s="489"/>
      <c r="H321" s="499"/>
      <c r="I321" s="473"/>
      <c r="J321" s="473"/>
      <c r="K321" s="393"/>
      <c r="L321" s="393"/>
      <c r="M321" s="393"/>
      <c r="N321" s="393"/>
      <c r="O321" s="393"/>
    </row>
    <row r="322" spans="1:15" hidden="1" x14ac:dyDescent="0.25">
      <c r="A322" s="487" t="s">
        <v>322</v>
      </c>
      <c r="B322" s="487">
        <v>5671</v>
      </c>
      <c r="C322" s="487" t="s">
        <v>1270</v>
      </c>
      <c r="D322" s="488"/>
      <c r="E322" s="488"/>
      <c r="F322" s="488">
        <f>SUM(E323)</f>
        <v>0</v>
      </c>
      <c r="G322" s="489"/>
      <c r="H322" s="499"/>
      <c r="I322" s="473"/>
      <c r="J322" s="473"/>
      <c r="K322" s="393"/>
      <c r="L322" s="393"/>
      <c r="M322" s="393"/>
      <c r="N322" s="393"/>
      <c r="O322" s="393"/>
    </row>
    <row r="323" spans="1:15" hidden="1" x14ac:dyDescent="0.25">
      <c r="A323" s="491"/>
      <c r="B323" s="491"/>
      <c r="C323" s="491"/>
      <c r="D323" s="489"/>
      <c r="E323" s="489"/>
      <c r="F323" s="489"/>
      <c r="G323" s="489"/>
      <c r="H323" s="499"/>
      <c r="I323" s="473"/>
      <c r="J323" s="473"/>
      <c r="K323" s="393"/>
      <c r="L323" s="393"/>
      <c r="M323" s="393"/>
      <c r="N323" s="393"/>
      <c r="O323" s="393"/>
    </row>
    <row r="324" spans="1:15" ht="15.75" hidden="1" thickBot="1" x14ac:dyDescent="0.3">
      <c r="A324" s="478" t="s">
        <v>1271</v>
      </c>
      <c r="B324" s="487"/>
      <c r="C324" s="487"/>
      <c r="D324" s="488"/>
      <c r="E324" s="488"/>
      <c r="F324" s="488"/>
      <c r="G324" s="479">
        <f>SUM(F320:F322)</f>
        <v>0</v>
      </c>
      <c r="H324" s="499"/>
      <c r="I324" s="473"/>
      <c r="J324" s="473"/>
      <c r="K324" s="393"/>
      <c r="L324" s="393"/>
      <c r="M324" s="393"/>
      <c r="N324" s="393"/>
      <c r="O324" s="393"/>
    </row>
    <row r="325" spans="1:15" ht="15.75" hidden="1" thickBot="1" x14ac:dyDescent="0.3">
      <c r="A325" s="695" t="s">
        <v>1426</v>
      </c>
      <c r="B325" s="696"/>
      <c r="C325" s="662"/>
      <c r="D325" s="663"/>
      <c r="E325" s="663"/>
      <c r="F325" s="663"/>
      <c r="G325" s="500">
        <f>SUM(F258:F324)</f>
        <v>8977974</v>
      </c>
      <c r="H325" s="663"/>
      <c r="I325" s="393"/>
      <c r="J325" s="393"/>
      <c r="K325" s="393"/>
      <c r="L325" s="393"/>
      <c r="M325" s="393"/>
      <c r="N325" s="393"/>
      <c r="O325" s="393"/>
    </row>
    <row r="326" spans="1:15" hidden="1" x14ac:dyDescent="0.25">
      <c r="A326" s="504"/>
      <c r="B326" s="504"/>
      <c r="C326" s="504"/>
      <c r="D326" s="492"/>
      <c r="E326" s="492"/>
      <c r="F326" s="492"/>
      <c r="G326" s="492"/>
      <c r="H326" s="492"/>
      <c r="I326" s="393"/>
      <c r="J326" s="393"/>
      <c r="K326" s="393"/>
      <c r="L326" s="393"/>
      <c r="M326" s="393"/>
      <c r="N326" s="393"/>
      <c r="O326" s="393"/>
    </row>
    <row r="327" spans="1:15" hidden="1" x14ac:dyDescent="0.25">
      <c r="A327" s="504"/>
      <c r="B327" s="504"/>
      <c r="C327" s="504"/>
      <c r="D327" s="492"/>
      <c r="E327" s="492"/>
      <c r="F327" s="492"/>
      <c r="G327" s="492"/>
      <c r="H327" s="492"/>
      <c r="I327" s="393"/>
      <c r="J327" s="393"/>
      <c r="K327" s="393"/>
      <c r="L327" s="393"/>
      <c r="M327" s="393"/>
      <c r="N327" s="393"/>
      <c r="O327" s="393"/>
    </row>
    <row r="328" spans="1:15" ht="15.75" hidden="1" thickBot="1" x14ac:dyDescent="0.3">
      <c r="A328" s="495"/>
      <c r="B328" s="495"/>
      <c r="C328" s="495"/>
      <c r="D328" s="495"/>
      <c r="E328" s="495"/>
      <c r="F328" s="495"/>
      <c r="G328" s="495"/>
      <c r="H328" s="495"/>
      <c r="I328" s="393"/>
      <c r="J328" s="393"/>
      <c r="K328" s="393"/>
      <c r="L328" s="393"/>
      <c r="M328" s="393"/>
      <c r="N328" s="393"/>
      <c r="O328" s="393"/>
    </row>
    <row r="329" spans="1:15" ht="15.75" hidden="1" thickBot="1" x14ac:dyDescent="0.3">
      <c r="A329" s="698" t="s">
        <v>1198</v>
      </c>
      <c r="B329" s="699"/>
      <c r="C329" s="699"/>
      <c r="D329" s="699"/>
      <c r="E329" s="699"/>
      <c r="F329" s="699"/>
      <c r="G329" s="700"/>
      <c r="H329" s="501"/>
      <c r="I329" s="505"/>
      <c r="J329" s="505"/>
      <c r="K329" s="505"/>
      <c r="L329" s="505"/>
      <c r="M329" s="393"/>
      <c r="N329" s="393"/>
      <c r="O329" s="393"/>
    </row>
    <row r="330" spans="1:15" hidden="1" x14ac:dyDescent="0.25">
      <c r="A330" s="506"/>
      <c r="B330" s="506"/>
      <c r="C330" s="506"/>
      <c r="D330" s="506"/>
      <c r="E330" s="506"/>
      <c r="F330" s="506"/>
      <c r="G330" s="506"/>
      <c r="H330" s="506"/>
      <c r="I330" s="505"/>
      <c r="J330" s="505"/>
      <c r="K330" s="505"/>
      <c r="L330" s="505"/>
      <c r="M330" s="393"/>
      <c r="N330" s="393"/>
      <c r="O330" s="393"/>
    </row>
    <row r="331" spans="1:15" hidden="1" x14ac:dyDescent="0.25">
      <c r="A331" s="709" t="s">
        <v>910</v>
      </c>
      <c r="B331" s="709"/>
      <c r="C331" s="709"/>
      <c r="D331" s="709"/>
      <c r="E331" s="709"/>
      <c r="F331" s="709"/>
      <c r="G331" s="709"/>
      <c r="H331" s="472"/>
      <c r="I331" s="393"/>
      <c r="J331" s="393"/>
      <c r="K331" s="393"/>
      <c r="L331" s="393"/>
      <c r="M331" s="393"/>
      <c r="N331" s="393"/>
      <c r="O331" s="393"/>
    </row>
    <row r="332" spans="1:15" hidden="1" x14ac:dyDescent="0.25">
      <c r="A332" s="473" t="s">
        <v>195</v>
      </c>
      <c r="B332" s="473">
        <v>511011</v>
      </c>
      <c r="C332" s="475" t="s">
        <v>877</v>
      </c>
      <c r="D332" s="474"/>
      <c r="E332" s="474"/>
      <c r="F332" s="475">
        <f>SUM(E333:E344)</f>
        <v>17265300</v>
      </c>
      <c r="G332" s="474"/>
      <c r="H332" s="474"/>
      <c r="I332" s="393"/>
      <c r="J332" s="393"/>
      <c r="K332" s="393"/>
      <c r="L332" s="393"/>
      <c r="M332" s="393"/>
      <c r="N332" s="393"/>
      <c r="O332" s="393"/>
    </row>
    <row r="333" spans="1:15" hidden="1" x14ac:dyDescent="0.25">
      <c r="A333" s="393"/>
      <c r="B333" s="393"/>
      <c r="C333" s="474" t="s">
        <v>26</v>
      </c>
      <c r="D333" s="474">
        <v>462000</v>
      </c>
      <c r="E333" s="474">
        <f>SUM(D333*1)</f>
        <v>462000</v>
      </c>
      <c r="F333" s="474"/>
      <c r="G333" s="474"/>
      <c r="H333" s="474"/>
      <c r="I333" s="393"/>
      <c r="J333" s="393"/>
      <c r="K333" s="393"/>
      <c r="L333" s="393"/>
      <c r="M333" s="393"/>
      <c r="N333" s="393"/>
      <c r="O333" s="393"/>
    </row>
    <row r="334" spans="1:15" hidden="1" x14ac:dyDescent="0.25">
      <c r="A334" s="393"/>
      <c r="B334" s="393"/>
      <c r="C334" s="474"/>
      <c r="D334" s="474">
        <v>462000</v>
      </c>
      <c r="E334" s="474">
        <f>SUM(D334*2)</f>
        <v>924000</v>
      </c>
      <c r="F334" s="474"/>
      <c r="G334" s="474"/>
      <c r="H334" s="474"/>
      <c r="I334" s="393"/>
      <c r="J334" s="393"/>
      <c r="K334" s="393"/>
      <c r="L334" s="393"/>
      <c r="M334" s="393"/>
      <c r="N334" s="393"/>
      <c r="O334" s="393"/>
    </row>
    <row r="335" spans="1:15" hidden="1" x14ac:dyDescent="0.25">
      <c r="A335" s="393"/>
      <c r="B335" s="393"/>
      <c r="C335" s="474"/>
      <c r="D335" s="474">
        <v>508200</v>
      </c>
      <c r="E335" s="474">
        <f>SUM(D335*9)</f>
        <v>4573800</v>
      </c>
      <c r="F335" s="474"/>
      <c r="G335" s="474"/>
      <c r="H335" s="474"/>
      <c r="I335" s="393"/>
      <c r="J335" s="393"/>
      <c r="K335" s="393"/>
      <c r="L335" s="393"/>
      <c r="M335" s="393"/>
      <c r="N335" s="393"/>
      <c r="O335" s="393"/>
    </row>
    <row r="336" spans="1:15" hidden="1" x14ac:dyDescent="0.25">
      <c r="A336" s="393"/>
      <c r="B336" s="393"/>
      <c r="C336" s="474" t="s">
        <v>25</v>
      </c>
      <c r="D336" s="474">
        <v>315000</v>
      </c>
      <c r="E336" s="474">
        <f>SUM(D336*1)</f>
        <v>315000</v>
      </c>
      <c r="F336" s="474"/>
      <c r="G336" s="474"/>
      <c r="H336" s="474"/>
      <c r="I336" s="393"/>
      <c r="J336" s="393"/>
      <c r="K336" s="393"/>
      <c r="L336" s="393"/>
      <c r="M336" s="393"/>
      <c r="N336" s="393"/>
      <c r="O336" s="393"/>
    </row>
    <row r="337" spans="1:15" hidden="1" x14ac:dyDescent="0.25">
      <c r="A337" s="393"/>
      <c r="B337" s="393"/>
      <c r="C337" s="474"/>
      <c r="D337" s="474">
        <v>315000</v>
      </c>
      <c r="E337" s="474">
        <f>SUM(D337*2)</f>
        <v>630000</v>
      </c>
      <c r="F337" s="474"/>
      <c r="G337" s="474"/>
      <c r="H337" s="474"/>
      <c r="I337" s="393"/>
      <c r="J337" s="393"/>
      <c r="K337" s="393"/>
      <c r="L337" s="393"/>
      <c r="M337" s="393"/>
      <c r="N337" s="393"/>
      <c r="O337" s="393"/>
    </row>
    <row r="338" spans="1:15" hidden="1" x14ac:dyDescent="0.25">
      <c r="A338" s="393"/>
      <c r="B338" s="393"/>
      <c r="C338" s="474"/>
      <c r="D338" s="474">
        <v>346500</v>
      </c>
      <c r="E338" s="474">
        <f>SUM(D338*9)</f>
        <v>3118500</v>
      </c>
      <c r="F338" s="474"/>
      <c r="G338" s="474"/>
      <c r="H338" s="474"/>
      <c r="I338" s="393"/>
      <c r="J338" s="393"/>
      <c r="K338" s="393"/>
      <c r="L338" s="393"/>
      <c r="M338" s="393"/>
      <c r="N338" s="393"/>
      <c r="O338" s="393"/>
    </row>
    <row r="339" spans="1:15" hidden="1" x14ac:dyDescent="0.25">
      <c r="A339" s="393"/>
      <c r="B339" s="393"/>
      <c r="C339" s="474" t="s">
        <v>24</v>
      </c>
      <c r="D339" s="474">
        <v>267000</v>
      </c>
      <c r="E339" s="474">
        <f>SUM(D339*1)</f>
        <v>267000</v>
      </c>
      <c r="F339" s="474"/>
      <c r="G339" s="474"/>
      <c r="H339" s="474"/>
      <c r="I339" s="393"/>
      <c r="J339" s="393"/>
      <c r="K339" s="393"/>
      <c r="L339" s="393"/>
      <c r="M339" s="393"/>
      <c r="N339" s="393"/>
      <c r="O339" s="393"/>
    </row>
    <row r="340" spans="1:15" hidden="1" x14ac:dyDescent="0.25">
      <c r="A340" s="393"/>
      <c r="B340" s="393"/>
      <c r="C340" s="474"/>
      <c r="D340" s="474">
        <v>267000</v>
      </c>
      <c r="E340" s="474">
        <f>SUM(D340*2)</f>
        <v>534000</v>
      </c>
      <c r="F340" s="474"/>
      <c r="G340" s="474"/>
      <c r="H340" s="474"/>
      <c r="I340" s="393"/>
      <c r="J340" s="393"/>
      <c r="K340" s="393"/>
      <c r="L340" s="393"/>
      <c r="M340" s="393"/>
      <c r="N340" s="393"/>
      <c r="O340" s="393"/>
    </row>
    <row r="341" spans="1:15" hidden="1" x14ac:dyDescent="0.25">
      <c r="A341" s="393"/>
      <c r="B341" s="393"/>
      <c r="C341" s="474"/>
      <c r="D341" s="474">
        <v>300000</v>
      </c>
      <c r="E341" s="474">
        <f>SUM(D341*9)</f>
        <v>2700000</v>
      </c>
      <c r="F341" s="474"/>
      <c r="G341" s="474"/>
      <c r="H341" s="474"/>
      <c r="I341" s="393"/>
      <c r="J341" s="393"/>
      <c r="K341" s="393"/>
      <c r="L341" s="393"/>
      <c r="M341" s="393"/>
      <c r="N341" s="393"/>
      <c r="O341" s="393"/>
    </row>
    <row r="342" spans="1:15" hidden="1" x14ac:dyDescent="0.25">
      <c r="A342" s="393"/>
      <c r="B342" s="393"/>
      <c r="C342" s="474" t="s">
        <v>1299</v>
      </c>
      <c r="D342" s="474">
        <v>290000</v>
      </c>
      <c r="E342" s="474">
        <f>SUM(D342*1)</f>
        <v>290000</v>
      </c>
      <c r="F342" s="474"/>
      <c r="G342" s="474"/>
      <c r="H342" s="474"/>
      <c r="I342" s="393"/>
      <c r="J342" s="393"/>
      <c r="K342" s="393"/>
      <c r="L342" s="393"/>
      <c r="M342" s="393"/>
      <c r="N342" s="393"/>
      <c r="O342" s="393"/>
    </row>
    <row r="343" spans="1:15" hidden="1" x14ac:dyDescent="0.25">
      <c r="A343" s="393"/>
      <c r="B343" s="393"/>
      <c r="C343" s="474"/>
      <c r="D343" s="474">
        <v>290000</v>
      </c>
      <c r="E343" s="474">
        <f>SUM(D343*2)</f>
        <v>580000</v>
      </c>
      <c r="F343" s="474"/>
      <c r="G343" s="474"/>
      <c r="H343" s="474"/>
      <c r="I343" s="393"/>
      <c r="J343" s="393"/>
      <c r="K343" s="393"/>
      <c r="L343" s="393"/>
      <c r="M343" s="393"/>
      <c r="N343" s="393"/>
      <c r="O343" s="393"/>
    </row>
    <row r="344" spans="1:15" hidden="1" x14ac:dyDescent="0.25">
      <c r="A344" s="393"/>
      <c r="B344" s="393"/>
      <c r="C344" s="474"/>
      <c r="D344" s="474">
        <v>319000</v>
      </c>
      <c r="E344" s="474">
        <f>SUM(D344*9)</f>
        <v>2871000</v>
      </c>
      <c r="F344" s="474"/>
      <c r="G344" s="474"/>
      <c r="H344" s="474"/>
      <c r="I344" s="393"/>
      <c r="J344" s="393"/>
      <c r="K344" s="393"/>
      <c r="L344" s="393"/>
      <c r="M344" s="393"/>
      <c r="N344" s="393"/>
      <c r="O344" s="393"/>
    </row>
    <row r="345" spans="1:15" hidden="1" x14ac:dyDescent="0.25">
      <c r="A345" s="473" t="s">
        <v>197</v>
      </c>
      <c r="B345" s="473">
        <v>511021</v>
      </c>
      <c r="C345" s="475" t="s">
        <v>23</v>
      </c>
      <c r="D345" s="475"/>
      <c r="E345" s="475"/>
      <c r="F345" s="475">
        <f>SUM(E346:E349)</f>
        <v>1444700</v>
      </c>
      <c r="G345" s="474"/>
      <c r="H345" s="474"/>
      <c r="I345" s="393"/>
      <c r="J345" s="393"/>
      <c r="K345" s="393"/>
      <c r="L345" s="393"/>
      <c r="M345" s="393"/>
      <c r="N345" s="393"/>
      <c r="O345" s="393"/>
    </row>
    <row r="346" spans="1:15" hidden="1" x14ac:dyDescent="0.25">
      <c r="A346" s="473"/>
      <c r="B346" s="473"/>
      <c r="C346" s="474" t="s">
        <v>26</v>
      </c>
      <c r="D346" s="474"/>
      <c r="E346" s="474">
        <f>SUM(D335)</f>
        <v>508200</v>
      </c>
      <c r="F346" s="475"/>
      <c r="G346" s="474"/>
      <c r="H346" s="474"/>
      <c r="I346" s="393"/>
      <c r="J346" s="393"/>
      <c r="K346" s="393"/>
      <c r="L346" s="393"/>
      <c r="M346" s="393"/>
      <c r="N346" s="393"/>
      <c r="O346" s="393"/>
    </row>
    <row r="347" spans="1:15" hidden="1" x14ac:dyDescent="0.25">
      <c r="A347" s="473"/>
      <c r="B347" s="473"/>
      <c r="C347" s="474" t="s">
        <v>25</v>
      </c>
      <c r="D347" s="474"/>
      <c r="E347" s="474">
        <f>SUM(D338)</f>
        <v>346500</v>
      </c>
      <c r="F347" s="475"/>
      <c r="G347" s="474"/>
      <c r="H347" s="474"/>
      <c r="I347" s="393"/>
      <c r="J347" s="393"/>
      <c r="K347" s="393"/>
      <c r="L347" s="393"/>
      <c r="M347" s="393"/>
      <c r="N347" s="393"/>
      <c r="O347" s="393"/>
    </row>
    <row r="348" spans="1:15" hidden="1" x14ac:dyDescent="0.25">
      <c r="A348" s="473"/>
      <c r="B348" s="473"/>
      <c r="C348" s="474" t="s">
        <v>24</v>
      </c>
      <c r="D348" s="474"/>
      <c r="E348" s="474">
        <f>SUM(D341)</f>
        <v>300000</v>
      </c>
      <c r="F348" s="475"/>
      <c r="G348" s="474"/>
      <c r="H348" s="474"/>
      <c r="I348" s="393"/>
      <c r="J348" s="393"/>
      <c r="K348" s="393"/>
      <c r="L348" s="393"/>
      <c r="M348" s="393"/>
      <c r="N348" s="393"/>
      <c r="O348" s="393"/>
    </row>
    <row r="349" spans="1:15" hidden="1" x14ac:dyDescent="0.25">
      <c r="A349" s="473"/>
      <c r="B349" s="473"/>
      <c r="C349" s="474" t="s">
        <v>1299</v>
      </c>
      <c r="D349" s="474"/>
      <c r="E349" s="474">
        <v>290000</v>
      </c>
      <c r="F349" s="475"/>
      <c r="G349" s="474"/>
      <c r="H349" s="474"/>
      <c r="I349" s="393"/>
      <c r="J349" s="393"/>
      <c r="K349" s="393"/>
      <c r="L349" s="393"/>
      <c r="M349" s="393"/>
      <c r="N349" s="393"/>
      <c r="O349" s="393"/>
    </row>
    <row r="350" spans="1:15" hidden="1" x14ac:dyDescent="0.25">
      <c r="A350" s="473" t="s">
        <v>204</v>
      </c>
      <c r="B350" s="473">
        <v>511061</v>
      </c>
      <c r="C350" s="475" t="s">
        <v>16</v>
      </c>
      <c r="D350" s="474"/>
      <c r="E350" s="474"/>
      <c r="F350" s="475">
        <f>SUM(E351)</f>
        <v>0</v>
      </c>
      <c r="G350" s="474"/>
      <c r="H350" s="474"/>
      <c r="I350" s="393"/>
      <c r="J350" s="393"/>
      <c r="K350" s="393"/>
      <c r="L350" s="393"/>
      <c r="M350" s="393"/>
      <c r="N350" s="393"/>
      <c r="O350" s="393"/>
    </row>
    <row r="351" spans="1:15" hidden="1" x14ac:dyDescent="0.25">
      <c r="A351" s="393"/>
      <c r="B351" s="393"/>
      <c r="C351" s="474"/>
      <c r="D351" s="474"/>
      <c r="E351" s="474">
        <f>SUM(D351*3)</f>
        <v>0</v>
      </c>
      <c r="F351" s="474"/>
      <c r="G351" s="474"/>
      <c r="H351" s="474"/>
      <c r="I351" s="393"/>
      <c r="J351" s="393"/>
      <c r="K351" s="393"/>
      <c r="L351" s="393"/>
      <c r="M351" s="393"/>
      <c r="N351" s="393"/>
      <c r="O351" s="393"/>
    </row>
    <row r="352" spans="1:15" hidden="1" x14ac:dyDescent="0.25">
      <c r="A352" s="473" t="s">
        <v>206</v>
      </c>
      <c r="B352" s="473">
        <v>511071</v>
      </c>
      <c r="C352" s="475" t="s">
        <v>205</v>
      </c>
      <c r="D352" s="475"/>
      <c r="E352" s="475"/>
      <c r="F352" s="475">
        <f>SUM(D353:D357)</f>
        <v>800000</v>
      </c>
      <c r="G352" s="474"/>
      <c r="H352" s="474"/>
      <c r="I352" s="393"/>
      <c r="J352" s="393"/>
      <c r="K352" s="393"/>
      <c r="L352" s="393"/>
      <c r="M352" s="393"/>
      <c r="N352" s="393"/>
      <c r="O352" s="393"/>
    </row>
    <row r="353" spans="1:15" hidden="1" x14ac:dyDescent="0.25">
      <c r="A353" s="393"/>
      <c r="B353" s="393"/>
      <c r="C353" s="474" t="s">
        <v>26</v>
      </c>
      <c r="D353" s="474">
        <v>200000</v>
      </c>
      <c r="E353" s="474"/>
      <c r="F353" s="474"/>
      <c r="G353" s="474"/>
      <c r="H353" s="474"/>
      <c r="I353" s="393"/>
      <c r="J353" s="393"/>
      <c r="K353" s="393"/>
      <c r="L353" s="393"/>
      <c r="M353" s="393"/>
      <c r="N353" s="393"/>
      <c r="O353" s="393"/>
    </row>
    <row r="354" spans="1:15" hidden="1" x14ac:dyDescent="0.25">
      <c r="A354" s="393"/>
      <c r="B354" s="393"/>
      <c r="C354" s="474" t="s">
        <v>25</v>
      </c>
      <c r="D354" s="474">
        <v>200000</v>
      </c>
      <c r="E354" s="474"/>
      <c r="F354" s="474"/>
      <c r="G354" s="474"/>
      <c r="H354" s="474"/>
      <c r="I354" s="393"/>
      <c r="J354" s="393"/>
      <c r="K354" s="393"/>
      <c r="L354" s="393"/>
      <c r="M354" s="393"/>
      <c r="N354" s="393"/>
      <c r="O354" s="393"/>
    </row>
    <row r="355" spans="1:15" hidden="1" x14ac:dyDescent="0.25">
      <c r="A355" s="393"/>
      <c r="B355" s="393"/>
      <c r="C355" s="474" t="s">
        <v>24</v>
      </c>
      <c r="D355" s="474">
        <v>200000</v>
      </c>
      <c r="E355" s="474"/>
      <c r="F355" s="474"/>
      <c r="G355" s="474"/>
      <c r="H355" s="474"/>
      <c r="I355" s="393"/>
      <c r="J355" s="393"/>
      <c r="K355" s="393"/>
      <c r="L355" s="393"/>
      <c r="M355" s="393"/>
      <c r="N355" s="393"/>
      <c r="O355" s="393"/>
    </row>
    <row r="356" spans="1:15" hidden="1" x14ac:dyDescent="0.25">
      <c r="A356" s="393"/>
      <c r="B356" s="393"/>
      <c r="C356" s="474" t="s">
        <v>1299</v>
      </c>
      <c r="D356" s="474">
        <v>200000</v>
      </c>
      <c r="E356" s="474"/>
      <c r="F356" s="474"/>
      <c r="G356" s="474"/>
      <c r="H356" s="474"/>
      <c r="I356" s="393"/>
      <c r="J356" s="393"/>
      <c r="K356" s="393"/>
      <c r="L356" s="393"/>
      <c r="M356" s="393"/>
      <c r="N356" s="393"/>
      <c r="O356" s="393"/>
    </row>
    <row r="357" spans="1:15" hidden="1" x14ac:dyDescent="0.25">
      <c r="A357" s="393"/>
      <c r="B357" s="393"/>
      <c r="C357" s="474"/>
      <c r="D357" s="474"/>
      <c r="E357" s="474"/>
      <c r="F357" s="474"/>
      <c r="G357" s="474"/>
      <c r="H357" s="474"/>
      <c r="I357" s="393"/>
      <c r="J357" s="393"/>
      <c r="K357" s="393"/>
      <c r="L357" s="393"/>
      <c r="M357" s="393"/>
      <c r="N357" s="393"/>
      <c r="O357" s="393"/>
    </row>
    <row r="358" spans="1:15" hidden="1" x14ac:dyDescent="0.25">
      <c r="A358" s="473" t="s">
        <v>208</v>
      </c>
      <c r="B358" s="473">
        <v>511091</v>
      </c>
      <c r="C358" s="475" t="s">
        <v>34</v>
      </c>
      <c r="D358" s="475"/>
      <c r="E358" s="475"/>
      <c r="F358" s="475">
        <f>SUM(E359:E359)</f>
        <v>94500</v>
      </c>
      <c r="G358" s="474"/>
      <c r="H358" s="474"/>
      <c r="I358" s="393"/>
      <c r="J358" s="393"/>
      <c r="K358" s="393"/>
      <c r="L358" s="393"/>
      <c r="M358" s="393"/>
      <c r="N358" s="393"/>
      <c r="O358" s="393"/>
    </row>
    <row r="359" spans="1:15" hidden="1" x14ac:dyDescent="0.25">
      <c r="A359" s="473"/>
      <c r="B359" s="473"/>
      <c r="C359" s="480" t="s">
        <v>26</v>
      </c>
      <c r="D359" s="480">
        <v>10500</v>
      </c>
      <c r="E359" s="480">
        <f>SUM(D359*9)</f>
        <v>94500</v>
      </c>
      <c r="F359" s="475"/>
      <c r="G359" s="474"/>
      <c r="H359" s="474"/>
      <c r="I359" s="393"/>
      <c r="J359" s="393"/>
      <c r="K359" s="393"/>
      <c r="L359" s="393"/>
      <c r="M359" s="393"/>
      <c r="N359" s="393"/>
      <c r="O359" s="393"/>
    </row>
    <row r="360" spans="1:15" hidden="1" x14ac:dyDescent="0.25">
      <c r="A360" s="473" t="s">
        <v>210</v>
      </c>
      <c r="B360" s="473">
        <v>5111101</v>
      </c>
      <c r="C360" s="475" t="s">
        <v>878</v>
      </c>
      <c r="D360" s="475"/>
      <c r="E360" s="475"/>
      <c r="F360" s="475">
        <f>SUM(D361:D363)</f>
        <v>150000</v>
      </c>
      <c r="G360" s="474"/>
      <c r="H360" s="474"/>
      <c r="I360" s="393"/>
      <c r="J360" s="393"/>
      <c r="K360" s="393"/>
      <c r="L360" s="393"/>
      <c r="M360" s="393"/>
      <c r="N360" s="393"/>
      <c r="O360" s="393"/>
    </row>
    <row r="361" spans="1:15" hidden="1" x14ac:dyDescent="0.25">
      <c r="A361" s="393"/>
      <c r="B361" s="393"/>
      <c r="C361" s="474" t="s">
        <v>1199</v>
      </c>
      <c r="D361" s="474">
        <v>50000</v>
      </c>
      <c r="E361" s="474"/>
      <c r="F361" s="474"/>
      <c r="G361" s="474"/>
      <c r="H361" s="474"/>
      <c r="I361" s="393"/>
      <c r="J361" s="393"/>
      <c r="K361" s="393"/>
      <c r="L361" s="393"/>
      <c r="M361" s="393"/>
      <c r="N361" s="393"/>
      <c r="O361" s="393"/>
    </row>
    <row r="362" spans="1:15" hidden="1" x14ac:dyDescent="0.25">
      <c r="A362" s="393"/>
      <c r="B362" s="393"/>
      <c r="C362" s="474" t="s">
        <v>25</v>
      </c>
      <c r="D362" s="474">
        <v>50000</v>
      </c>
      <c r="E362" s="474"/>
      <c r="F362" s="474"/>
      <c r="G362" s="474"/>
      <c r="H362" s="474"/>
      <c r="I362" s="393"/>
      <c r="J362" s="393"/>
      <c r="K362" s="393"/>
      <c r="L362" s="393"/>
      <c r="M362" s="393"/>
      <c r="N362" s="393"/>
      <c r="O362" s="393"/>
    </row>
    <row r="363" spans="1:15" hidden="1" x14ac:dyDescent="0.25">
      <c r="A363" s="473"/>
      <c r="B363" s="473"/>
      <c r="C363" s="475" t="s">
        <v>1316</v>
      </c>
      <c r="D363" s="475">
        <v>50000</v>
      </c>
      <c r="E363" s="475"/>
      <c r="F363" s="475"/>
      <c r="G363" s="475"/>
      <c r="H363" s="475"/>
      <c r="I363" s="473"/>
      <c r="J363" s="393"/>
      <c r="K363" s="393"/>
      <c r="L363" s="393"/>
      <c r="M363" s="393"/>
      <c r="N363" s="393"/>
      <c r="O363" s="393"/>
    </row>
    <row r="364" spans="1:15" hidden="1" x14ac:dyDescent="0.25">
      <c r="A364" s="473"/>
      <c r="B364" s="473"/>
      <c r="C364" s="475"/>
      <c r="D364" s="475"/>
      <c r="E364" s="475"/>
      <c r="F364" s="475"/>
      <c r="G364" s="475"/>
      <c r="H364" s="475"/>
      <c r="I364" s="473"/>
      <c r="J364" s="393"/>
      <c r="K364" s="393"/>
      <c r="L364" s="393"/>
      <c r="M364" s="393"/>
      <c r="N364" s="393"/>
      <c r="O364" s="393"/>
    </row>
    <row r="365" spans="1:15" s="381" customFormat="1" ht="15.75" hidden="1" x14ac:dyDescent="0.25">
      <c r="A365" s="497" t="s">
        <v>912</v>
      </c>
      <c r="B365" s="490"/>
      <c r="C365" s="503"/>
      <c r="D365" s="664"/>
      <c r="E365" s="664"/>
      <c r="F365" s="664"/>
      <c r="G365" s="498">
        <f>SUM(F332:F364)</f>
        <v>19754500</v>
      </c>
      <c r="H365" s="474"/>
      <c r="I365" s="393"/>
      <c r="J365" s="393"/>
      <c r="K365" s="393"/>
      <c r="L365" s="393"/>
      <c r="M365" s="393"/>
      <c r="N365" s="393"/>
      <c r="O365" s="393"/>
    </row>
    <row r="366" spans="1:15" hidden="1" x14ac:dyDescent="0.25">
      <c r="A366" s="473" t="s">
        <v>228</v>
      </c>
      <c r="B366" s="393"/>
      <c r="C366" s="475" t="s">
        <v>913</v>
      </c>
      <c r="D366" s="474"/>
      <c r="E366" s="474"/>
      <c r="F366" s="475">
        <f>SUM(E367:E372)</f>
        <v>2378880</v>
      </c>
      <c r="G366" s="475"/>
      <c r="H366" s="474"/>
      <c r="I366" s="393"/>
      <c r="J366" s="393"/>
      <c r="K366" s="393"/>
      <c r="L366" s="393"/>
      <c r="M366" s="393"/>
      <c r="N366" s="393"/>
      <c r="O366" s="393"/>
    </row>
    <row r="367" spans="1:15" hidden="1" x14ac:dyDescent="0.25">
      <c r="A367" s="473" t="s">
        <v>228</v>
      </c>
      <c r="B367" s="393">
        <v>5231</v>
      </c>
      <c r="C367" s="474" t="s">
        <v>1180</v>
      </c>
      <c r="D367" s="474"/>
      <c r="E367" s="474">
        <f>SUM(D369:D370)</f>
        <v>2258880</v>
      </c>
      <c r="F367" s="474"/>
      <c r="G367" s="474"/>
      <c r="H367" s="474"/>
      <c r="I367" s="393"/>
      <c r="J367" s="393"/>
      <c r="K367" s="393"/>
      <c r="L367" s="393"/>
      <c r="M367" s="393"/>
      <c r="N367" s="393"/>
      <c r="O367" s="393"/>
    </row>
    <row r="368" spans="1:15" hidden="1" x14ac:dyDescent="0.25">
      <c r="A368" s="473"/>
      <c r="B368" s="485">
        <v>0.155</v>
      </c>
      <c r="C368" s="474">
        <f>SUM(E333+E336+E339+E342)</f>
        <v>1334000</v>
      </c>
      <c r="D368" s="474">
        <f>SUM(C368*0.155)</f>
        <v>206770</v>
      </c>
      <c r="E368" s="474"/>
      <c r="F368" s="474"/>
      <c r="G368" s="474"/>
      <c r="H368" s="474"/>
      <c r="I368" s="393"/>
      <c r="J368" s="393"/>
      <c r="K368" s="393"/>
      <c r="L368" s="393"/>
      <c r="M368" s="393"/>
      <c r="N368" s="393"/>
      <c r="O368" s="393"/>
    </row>
    <row r="369" spans="1:15" hidden="1" x14ac:dyDescent="0.25">
      <c r="A369" s="393"/>
      <c r="B369" s="640">
        <v>0.13</v>
      </c>
      <c r="C369" s="474">
        <f>SUM(E334+E335+E337+E338+E340+E341+E343+E344)</f>
        <v>15931300</v>
      </c>
      <c r="D369" s="474">
        <f>SUM(C369*0.13)</f>
        <v>2071069</v>
      </c>
      <c r="E369" s="474"/>
      <c r="F369" s="474"/>
      <c r="G369" s="474"/>
      <c r="H369" s="474"/>
      <c r="I369" s="393"/>
      <c r="J369" s="393"/>
      <c r="K369" s="393"/>
      <c r="L369" s="393"/>
      <c r="M369" s="393"/>
      <c r="N369" s="393"/>
      <c r="O369" s="393"/>
    </row>
    <row r="370" spans="1:15" hidden="1" x14ac:dyDescent="0.25">
      <c r="A370" s="393"/>
      <c r="B370" s="393"/>
      <c r="C370" s="474" t="s">
        <v>1204</v>
      </c>
      <c r="D370" s="474">
        <f>SUM(F345*0.13)</f>
        <v>187811</v>
      </c>
      <c r="E370" s="474"/>
      <c r="F370" s="474"/>
      <c r="G370" s="474"/>
      <c r="H370" s="474"/>
      <c r="I370" s="393"/>
      <c r="J370" s="393"/>
      <c r="K370" s="393"/>
      <c r="L370" s="393"/>
      <c r="M370" s="393"/>
      <c r="N370" s="393"/>
      <c r="O370" s="393"/>
    </row>
    <row r="371" spans="1:15" hidden="1" x14ac:dyDescent="0.25">
      <c r="A371" s="393"/>
      <c r="B371" s="393"/>
      <c r="C371" s="600" t="s">
        <v>1181</v>
      </c>
      <c r="D371" s="600">
        <f>SUM(F352*0.13)</f>
        <v>104000</v>
      </c>
      <c r="E371" s="474"/>
      <c r="F371" s="474"/>
      <c r="G371" s="474"/>
      <c r="H371" s="474"/>
      <c r="I371" s="393"/>
      <c r="J371" s="393"/>
      <c r="K371" s="393"/>
      <c r="L371" s="393"/>
      <c r="M371" s="393"/>
      <c r="N371" s="393"/>
      <c r="O371" s="393"/>
    </row>
    <row r="372" spans="1:15" hidden="1" x14ac:dyDescent="0.25">
      <c r="A372" s="393"/>
      <c r="B372" s="393">
        <v>5237</v>
      </c>
      <c r="C372" s="474" t="s">
        <v>914</v>
      </c>
      <c r="D372" s="474"/>
      <c r="E372" s="474">
        <f>SUM(F352*0.15)</f>
        <v>120000</v>
      </c>
      <c r="F372" s="474"/>
      <c r="G372" s="474"/>
      <c r="H372" s="474"/>
      <c r="I372" s="393"/>
      <c r="J372" s="393"/>
      <c r="K372" s="393"/>
      <c r="L372" s="393"/>
      <c r="M372" s="393"/>
      <c r="N372" s="393"/>
      <c r="O372" s="393"/>
    </row>
    <row r="373" spans="1:15" hidden="1" x14ac:dyDescent="0.25">
      <c r="A373" s="393"/>
      <c r="B373" s="393"/>
      <c r="C373" s="474" t="s">
        <v>915</v>
      </c>
      <c r="D373" s="474"/>
      <c r="E373" s="474"/>
      <c r="F373" s="474"/>
      <c r="G373" s="474"/>
      <c r="H373" s="474"/>
      <c r="I373" s="393"/>
      <c r="J373" s="393"/>
      <c r="K373" s="393"/>
      <c r="L373" s="393"/>
      <c r="M373" s="393"/>
      <c r="N373" s="393"/>
      <c r="O373" s="393"/>
    </row>
    <row r="374" spans="1:15" s="381" customFormat="1" ht="15.75" hidden="1" x14ac:dyDescent="0.25">
      <c r="A374" s="497" t="s">
        <v>916</v>
      </c>
      <c r="B374" s="490"/>
      <c r="C374" s="664"/>
      <c r="D374" s="664"/>
      <c r="E374" s="664"/>
      <c r="F374" s="664"/>
      <c r="G374" s="498">
        <f>SUM(F366)</f>
        <v>2378880</v>
      </c>
      <c r="H374" s="474"/>
      <c r="I374" s="393"/>
      <c r="J374" s="393"/>
      <c r="K374" s="393"/>
      <c r="L374" s="393"/>
      <c r="M374" s="393"/>
      <c r="N374" s="393"/>
      <c r="O374" s="393"/>
    </row>
    <row r="375" spans="1:15" hidden="1" x14ac:dyDescent="0.25">
      <c r="A375" s="473" t="s">
        <v>229</v>
      </c>
      <c r="B375" s="473">
        <v>53111</v>
      </c>
      <c r="C375" s="475" t="s">
        <v>157</v>
      </c>
      <c r="D375" s="474"/>
      <c r="E375" s="474"/>
      <c r="F375" s="475">
        <f>SUM(D376:D378)</f>
        <v>77000</v>
      </c>
      <c r="G375" s="474"/>
      <c r="H375" s="474"/>
      <c r="I375" s="393"/>
      <c r="J375" s="393"/>
      <c r="K375" s="393"/>
      <c r="L375" s="393"/>
      <c r="M375" s="393"/>
      <c r="N375" s="393"/>
      <c r="O375" s="393"/>
    </row>
    <row r="376" spans="1:15" hidden="1" x14ac:dyDescent="0.25">
      <c r="A376" s="393"/>
      <c r="B376" s="393"/>
      <c r="C376" s="474" t="s">
        <v>1182</v>
      </c>
      <c r="D376" s="474">
        <v>57000</v>
      </c>
      <c r="E376" s="474"/>
      <c r="F376" s="474"/>
      <c r="G376" s="474"/>
      <c r="H376" s="474"/>
      <c r="I376" s="393"/>
      <c r="J376" s="393"/>
      <c r="K376" s="393"/>
      <c r="L376" s="393"/>
      <c r="M376" s="393"/>
      <c r="N376" s="393"/>
      <c r="O376" s="393"/>
    </row>
    <row r="377" spans="1:15" hidden="1" x14ac:dyDescent="0.25">
      <c r="A377" s="393"/>
      <c r="B377" s="393"/>
      <c r="C377" s="474" t="s">
        <v>1183</v>
      </c>
      <c r="D377" s="474">
        <v>9000</v>
      </c>
      <c r="E377" s="474"/>
      <c r="F377" s="474"/>
      <c r="G377" s="474"/>
      <c r="H377" s="474"/>
      <c r="I377" s="393"/>
      <c r="J377" s="393"/>
      <c r="K377" s="393"/>
      <c r="L377" s="393"/>
      <c r="M377" s="393"/>
      <c r="N377" s="393"/>
      <c r="O377" s="393"/>
    </row>
    <row r="378" spans="1:15" hidden="1" x14ac:dyDescent="0.25">
      <c r="A378" s="393"/>
      <c r="B378" s="393"/>
      <c r="C378" s="474" t="s">
        <v>1317</v>
      </c>
      <c r="D378" s="474">
        <v>11000</v>
      </c>
      <c r="E378" s="474"/>
      <c r="F378" s="474"/>
      <c r="G378" s="474"/>
      <c r="H378" s="474"/>
      <c r="I378" s="393"/>
      <c r="J378" s="393"/>
      <c r="K378" s="393"/>
      <c r="L378" s="393"/>
      <c r="M378" s="393"/>
      <c r="N378" s="393"/>
      <c r="O378" s="393"/>
    </row>
    <row r="379" spans="1:15" hidden="1" x14ac:dyDescent="0.25">
      <c r="A379" s="473" t="s">
        <v>230</v>
      </c>
      <c r="B379" s="473">
        <v>53121</v>
      </c>
      <c r="C379" s="475" t="s">
        <v>138</v>
      </c>
      <c r="D379" s="475"/>
      <c r="E379" s="475"/>
      <c r="F379" s="475">
        <f>SUM(D380:D383)</f>
        <v>220000</v>
      </c>
      <c r="G379" s="475"/>
      <c r="H379" s="475"/>
      <c r="I379" s="473"/>
      <c r="J379" s="393"/>
      <c r="K379" s="393"/>
      <c r="L379" s="393"/>
      <c r="M379" s="393"/>
      <c r="N379" s="393"/>
      <c r="O379" s="393"/>
    </row>
    <row r="380" spans="1:15" hidden="1" x14ac:dyDescent="0.25">
      <c r="A380" s="393"/>
      <c r="B380" s="393"/>
      <c r="C380" s="474" t="s">
        <v>893</v>
      </c>
      <c r="D380" s="474">
        <v>10000</v>
      </c>
      <c r="E380" s="474"/>
      <c r="F380" s="474"/>
      <c r="G380" s="474"/>
      <c r="H380" s="474"/>
      <c r="I380" s="393"/>
      <c r="J380" s="393"/>
      <c r="K380" s="393"/>
      <c r="L380" s="393"/>
      <c r="M380" s="393"/>
      <c r="N380" s="393"/>
      <c r="O380" s="393"/>
    </row>
    <row r="381" spans="1:15" hidden="1" x14ac:dyDescent="0.25">
      <c r="A381" s="393"/>
      <c r="B381" s="393"/>
      <c r="C381" s="474" t="s">
        <v>1300</v>
      </c>
      <c r="D381" s="474">
        <v>150000</v>
      </c>
      <c r="E381" s="474"/>
      <c r="F381" s="474"/>
      <c r="G381" s="474"/>
      <c r="H381" s="474"/>
      <c r="I381" s="393"/>
      <c r="J381" s="393"/>
      <c r="K381" s="393"/>
      <c r="L381" s="393"/>
      <c r="M381" s="393"/>
      <c r="N381" s="393"/>
      <c r="O381" s="393"/>
    </row>
    <row r="382" spans="1:15" hidden="1" x14ac:dyDescent="0.25">
      <c r="A382" s="393"/>
      <c r="B382" s="393"/>
      <c r="C382" s="474" t="s">
        <v>1301</v>
      </c>
      <c r="D382" s="474">
        <v>50000</v>
      </c>
      <c r="E382" s="474"/>
      <c r="F382" s="474"/>
      <c r="G382" s="474"/>
      <c r="H382" s="474"/>
      <c r="I382" s="393"/>
      <c r="J382" s="393"/>
      <c r="K382" s="393"/>
      <c r="L382" s="393"/>
      <c r="M382" s="393"/>
      <c r="N382" s="393"/>
      <c r="O382" s="393"/>
    </row>
    <row r="383" spans="1:15" hidden="1" x14ac:dyDescent="0.25">
      <c r="A383" s="393"/>
      <c r="B383" s="393"/>
      <c r="C383" s="474" t="s">
        <v>1308</v>
      </c>
      <c r="D383" s="474">
        <v>10000</v>
      </c>
      <c r="E383" s="474"/>
      <c r="F383" s="474"/>
      <c r="G383" s="474"/>
      <c r="H383" s="474"/>
      <c r="I383" s="393"/>
      <c r="J383" s="393"/>
      <c r="K383" s="393"/>
      <c r="L383" s="393"/>
      <c r="M383" s="393"/>
      <c r="N383" s="393"/>
      <c r="O383" s="393"/>
    </row>
    <row r="384" spans="1:15" hidden="1" x14ac:dyDescent="0.25">
      <c r="A384" s="473" t="s">
        <v>235</v>
      </c>
      <c r="B384" s="473">
        <v>53211</v>
      </c>
      <c r="C384" s="475" t="s">
        <v>894</v>
      </c>
      <c r="D384" s="475"/>
      <c r="E384" s="475"/>
      <c r="F384" s="475">
        <f>SUM(E385:E388)</f>
        <v>624000</v>
      </c>
      <c r="G384" s="475"/>
      <c r="H384" s="475"/>
      <c r="I384" s="473"/>
      <c r="J384" s="393"/>
      <c r="K384" s="393"/>
      <c r="L384" s="393"/>
      <c r="M384" s="393"/>
      <c r="N384" s="393"/>
      <c r="O384" s="393"/>
    </row>
    <row r="385" spans="1:15" hidden="1" x14ac:dyDescent="0.25">
      <c r="A385" s="393"/>
      <c r="B385" s="393"/>
      <c r="C385" s="474" t="s">
        <v>895</v>
      </c>
      <c r="D385" s="474">
        <v>30000</v>
      </c>
      <c r="E385" s="474">
        <f>SUM(D385*12)</f>
        <v>360000</v>
      </c>
      <c r="F385" s="474"/>
      <c r="G385" s="474"/>
      <c r="H385" s="474"/>
      <c r="I385" s="393"/>
      <c r="J385" s="393"/>
      <c r="K385" s="393"/>
      <c r="L385" s="393"/>
      <c r="M385" s="393"/>
      <c r="N385" s="393"/>
      <c r="O385" s="393"/>
    </row>
    <row r="386" spans="1:15" hidden="1" x14ac:dyDescent="0.25">
      <c r="A386" s="393"/>
      <c r="B386" s="393"/>
      <c r="C386" s="474" t="s">
        <v>1312</v>
      </c>
      <c r="D386" s="474"/>
      <c r="E386" s="474">
        <v>24000</v>
      </c>
      <c r="F386" s="474"/>
      <c r="G386" s="474"/>
      <c r="H386" s="474"/>
      <c r="I386" s="393"/>
      <c r="J386" s="393"/>
      <c r="K386" s="393"/>
      <c r="L386" s="393"/>
      <c r="M386" s="393"/>
      <c r="N386" s="393"/>
      <c r="O386" s="393"/>
    </row>
    <row r="387" spans="1:15" hidden="1" x14ac:dyDescent="0.25">
      <c r="A387" s="393"/>
      <c r="B387" s="393"/>
      <c r="C387" s="474" t="s">
        <v>1186</v>
      </c>
      <c r="D387" s="474">
        <v>28000</v>
      </c>
      <c r="E387" s="474">
        <f>SUM(D387*4)</f>
        <v>112000</v>
      </c>
      <c r="F387" s="474"/>
      <c r="G387" s="474"/>
      <c r="H387" s="474"/>
      <c r="I387" s="393"/>
      <c r="J387" s="393"/>
      <c r="K387" s="393"/>
      <c r="L387" s="393"/>
      <c r="M387" s="393"/>
      <c r="N387" s="393"/>
      <c r="O387" s="393"/>
    </row>
    <row r="388" spans="1:15" hidden="1" x14ac:dyDescent="0.25">
      <c r="A388" s="393"/>
      <c r="B388" s="393"/>
      <c r="C388" s="474" t="s">
        <v>1187</v>
      </c>
      <c r="D388" s="474">
        <v>32000</v>
      </c>
      <c r="E388" s="474">
        <f>SUM(D388*4)</f>
        <v>128000</v>
      </c>
      <c r="F388" s="474"/>
      <c r="G388" s="474"/>
      <c r="H388" s="474"/>
      <c r="I388" s="393"/>
      <c r="J388" s="393"/>
      <c r="K388" s="393"/>
      <c r="L388" s="393"/>
      <c r="M388" s="393"/>
      <c r="N388" s="393"/>
      <c r="O388" s="393"/>
    </row>
    <row r="389" spans="1:15" hidden="1" x14ac:dyDescent="0.25">
      <c r="A389" s="473" t="s">
        <v>237</v>
      </c>
      <c r="B389" s="473">
        <v>53221</v>
      </c>
      <c r="C389" s="475" t="s">
        <v>917</v>
      </c>
      <c r="D389" s="475"/>
      <c r="E389" s="475"/>
      <c r="F389" s="475">
        <f>SUM(E390)</f>
        <v>0</v>
      </c>
      <c r="G389" s="475"/>
      <c r="H389" s="475"/>
      <c r="I389" s="473"/>
      <c r="J389" s="393"/>
      <c r="K389" s="393"/>
      <c r="L389" s="393"/>
      <c r="M389" s="393"/>
      <c r="N389" s="393"/>
      <c r="O389" s="393"/>
    </row>
    <row r="390" spans="1:15" hidden="1" x14ac:dyDescent="0.25">
      <c r="A390" s="393"/>
      <c r="B390" s="393"/>
      <c r="C390" s="474"/>
      <c r="D390" s="474">
        <v>0</v>
      </c>
      <c r="E390" s="474">
        <f>SUM(D390*12)</f>
        <v>0</v>
      </c>
      <c r="F390" s="474"/>
      <c r="G390" s="474"/>
      <c r="H390" s="474"/>
      <c r="I390" s="393"/>
      <c r="J390" s="393"/>
      <c r="K390" s="393"/>
      <c r="L390" s="393"/>
      <c r="M390" s="393"/>
      <c r="N390" s="393"/>
      <c r="O390" s="393"/>
    </row>
    <row r="391" spans="1:15" hidden="1" x14ac:dyDescent="0.25">
      <c r="A391" s="473" t="s">
        <v>243</v>
      </c>
      <c r="B391" s="473">
        <v>53341</v>
      </c>
      <c r="C391" s="475" t="s">
        <v>918</v>
      </c>
      <c r="D391" s="475"/>
      <c r="E391" s="475"/>
      <c r="F391" s="475">
        <f>SUM(E392)</f>
        <v>0</v>
      </c>
      <c r="G391" s="475"/>
      <c r="H391" s="475"/>
      <c r="I391" s="473"/>
      <c r="J391" s="393"/>
      <c r="K391" s="393"/>
      <c r="L391" s="393"/>
      <c r="M391" s="393"/>
      <c r="N391" s="393"/>
      <c r="O391" s="393"/>
    </row>
    <row r="392" spans="1:15" hidden="1" x14ac:dyDescent="0.25">
      <c r="A392" s="393"/>
      <c r="B392" s="393"/>
      <c r="C392" s="474">
        <v>0</v>
      </c>
      <c r="D392" s="474"/>
      <c r="E392" s="474">
        <v>0</v>
      </c>
      <c r="F392" s="474"/>
      <c r="G392" s="474"/>
      <c r="H392" s="474"/>
      <c r="I392" s="393"/>
      <c r="J392" s="393"/>
      <c r="K392" s="393"/>
      <c r="L392" s="393"/>
      <c r="M392" s="393"/>
      <c r="N392" s="393"/>
      <c r="O392" s="393"/>
    </row>
    <row r="393" spans="1:15" hidden="1" x14ac:dyDescent="0.25">
      <c r="A393" s="473" t="s">
        <v>244</v>
      </c>
      <c r="B393" s="473">
        <v>53351</v>
      </c>
      <c r="C393" s="475" t="s">
        <v>919</v>
      </c>
      <c r="D393" s="475"/>
      <c r="E393" s="475"/>
      <c r="F393" s="475">
        <f>SUM(E394)</f>
        <v>0</v>
      </c>
      <c r="G393" s="475"/>
      <c r="H393" s="475"/>
      <c r="I393" s="473"/>
      <c r="J393" s="393"/>
      <c r="K393" s="393"/>
      <c r="L393" s="393"/>
      <c r="M393" s="393"/>
      <c r="N393" s="393"/>
      <c r="O393" s="393"/>
    </row>
    <row r="394" spans="1:15" hidden="1" x14ac:dyDescent="0.25">
      <c r="A394" s="393"/>
      <c r="B394" s="393"/>
      <c r="C394" s="474">
        <v>0</v>
      </c>
      <c r="D394" s="474"/>
      <c r="E394" s="474">
        <v>0</v>
      </c>
      <c r="F394" s="474"/>
      <c r="G394" s="474"/>
      <c r="H394" s="474"/>
      <c r="I394" s="393"/>
      <c r="J394" s="393"/>
      <c r="K394" s="393"/>
      <c r="L394" s="393"/>
      <c r="M394" s="393"/>
      <c r="N394" s="393"/>
      <c r="O394" s="393"/>
    </row>
    <row r="395" spans="1:15" hidden="1" x14ac:dyDescent="0.25">
      <c r="A395" s="473" t="s">
        <v>246</v>
      </c>
      <c r="B395" s="473">
        <v>53361</v>
      </c>
      <c r="C395" s="475" t="s">
        <v>920</v>
      </c>
      <c r="D395" s="475"/>
      <c r="E395" s="475"/>
      <c r="F395" s="475">
        <f>SUM(E396:E397)</f>
        <v>2500000</v>
      </c>
      <c r="G395" s="475"/>
      <c r="H395" s="475"/>
      <c r="I395" s="473"/>
      <c r="J395" s="393"/>
      <c r="K395" s="393"/>
      <c r="L395" s="393"/>
      <c r="M395" s="393"/>
      <c r="N395" s="393"/>
      <c r="O395" s="393"/>
    </row>
    <row r="396" spans="1:15" hidden="1" x14ac:dyDescent="0.25">
      <c r="A396" s="473"/>
      <c r="B396" s="473"/>
      <c r="C396" s="480" t="s">
        <v>1318</v>
      </c>
      <c r="D396" s="480">
        <v>200000</v>
      </c>
      <c r="E396" s="480">
        <f>SUM(D396*12)</f>
        <v>2400000</v>
      </c>
      <c r="F396" s="475"/>
      <c r="G396" s="475"/>
      <c r="H396" s="475"/>
      <c r="I396" s="473"/>
      <c r="J396" s="393"/>
      <c r="K396" s="393"/>
      <c r="L396" s="393"/>
      <c r="M396" s="393"/>
      <c r="N396" s="393"/>
      <c r="O396" s="393"/>
    </row>
    <row r="397" spans="1:15" hidden="1" x14ac:dyDescent="0.25">
      <c r="A397" s="393"/>
      <c r="B397" s="393"/>
      <c r="C397" s="474" t="s">
        <v>1189</v>
      </c>
      <c r="D397" s="474"/>
      <c r="E397" s="474">
        <v>100000</v>
      </c>
      <c r="F397" s="474"/>
      <c r="G397" s="474"/>
      <c r="H397" s="474"/>
      <c r="I397" s="393"/>
      <c r="J397" s="393"/>
      <c r="K397" s="393"/>
      <c r="L397" s="393"/>
      <c r="M397" s="393"/>
      <c r="N397" s="393"/>
      <c r="O397" s="393"/>
    </row>
    <row r="398" spans="1:15" hidden="1" x14ac:dyDescent="0.25">
      <c r="A398" s="473" t="s">
        <v>247</v>
      </c>
      <c r="B398" s="473">
        <v>53371</v>
      </c>
      <c r="C398" s="475" t="s">
        <v>134</v>
      </c>
      <c r="D398" s="475"/>
      <c r="E398" s="475"/>
      <c r="F398" s="475">
        <f>SUM(E399:E402)</f>
        <v>200000</v>
      </c>
      <c r="G398" s="475"/>
      <c r="H398" s="475"/>
      <c r="I398" s="473"/>
      <c r="J398" s="393"/>
      <c r="K398" s="393"/>
      <c r="L398" s="393"/>
      <c r="M398" s="393"/>
      <c r="N398" s="393"/>
      <c r="O398" s="393"/>
    </row>
    <row r="399" spans="1:15" hidden="1" x14ac:dyDescent="0.25">
      <c r="A399" s="393"/>
      <c r="B399" s="393"/>
      <c r="C399" s="474" t="s">
        <v>1190</v>
      </c>
      <c r="D399" s="474"/>
      <c r="E399" s="474">
        <v>70000</v>
      </c>
      <c r="F399" s="474"/>
      <c r="G399" s="474"/>
      <c r="H399" s="474"/>
      <c r="I399" s="393"/>
      <c r="J399" s="393"/>
      <c r="K399" s="393"/>
      <c r="L399" s="393"/>
      <c r="M399" s="393"/>
      <c r="N399" s="393"/>
      <c r="O399" s="393"/>
    </row>
    <row r="400" spans="1:15" hidden="1" x14ac:dyDescent="0.25">
      <c r="A400" s="393"/>
      <c r="B400" s="393"/>
      <c r="C400" s="474" t="s">
        <v>134</v>
      </c>
      <c r="D400" s="474"/>
      <c r="E400" s="474">
        <v>20000</v>
      </c>
      <c r="F400" s="474"/>
      <c r="G400" s="474"/>
      <c r="H400" s="474"/>
      <c r="I400" s="393"/>
      <c r="J400" s="393"/>
      <c r="K400" s="393"/>
      <c r="L400" s="393"/>
      <c r="M400" s="393"/>
      <c r="N400" s="393"/>
      <c r="O400" s="393"/>
    </row>
    <row r="401" spans="1:15" hidden="1" x14ac:dyDescent="0.25">
      <c r="A401" s="393"/>
      <c r="B401" s="393"/>
      <c r="C401" s="474" t="s">
        <v>1034</v>
      </c>
      <c r="D401" s="474"/>
      <c r="E401" s="474">
        <v>0</v>
      </c>
      <c r="F401" s="474"/>
      <c r="G401" s="474"/>
      <c r="H401" s="474"/>
      <c r="I401" s="393"/>
      <c r="J401" s="393"/>
      <c r="K401" s="393"/>
      <c r="L401" s="393"/>
      <c r="M401" s="393"/>
      <c r="N401" s="393"/>
      <c r="O401" s="393"/>
    </row>
    <row r="402" spans="1:15" hidden="1" x14ac:dyDescent="0.25">
      <c r="A402" s="393"/>
      <c r="B402" s="393"/>
      <c r="C402" s="474" t="s">
        <v>1191</v>
      </c>
      <c r="D402" s="474"/>
      <c r="E402" s="474">
        <v>110000</v>
      </c>
      <c r="F402" s="474"/>
      <c r="G402" s="474"/>
      <c r="H402" s="474"/>
      <c r="I402" s="393"/>
      <c r="J402" s="393"/>
      <c r="K402" s="393"/>
      <c r="L402" s="393"/>
      <c r="M402" s="393"/>
      <c r="N402" s="393"/>
      <c r="O402" s="393"/>
    </row>
    <row r="403" spans="1:15" hidden="1" x14ac:dyDescent="0.25">
      <c r="A403" s="473" t="s">
        <v>250</v>
      </c>
      <c r="B403" s="473">
        <v>53411</v>
      </c>
      <c r="C403" s="475" t="s">
        <v>155</v>
      </c>
      <c r="D403" s="475"/>
      <c r="E403" s="475"/>
      <c r="F403" s="475">
        <f>SUM(E404:E406)</f>
        <v>205000</v>
      </c>
      <c r="G403" s="475"/>
      <c r="H403" s="475"/>
      <c r="I403" s="473"/>
      <c r="J403" s="393"/>
      <c r="K403" s="393"/>
      <c r="L403" s="393"/>
      <c r="M403" s="393"/>
      <c r="N403" s="393"/>
      <c r="O403" s="393"/>
    </row>
    <row r="404" spans="1:15" hidden="1" x14ac:dyDescent="0.25">
      <c r="A404" s="393"/>
      <c r="B404" s="393"/>
      <c r="C404" s="474" t="s">
        <v>1178</v>
      </c>
      <c r="D404" s="474"/>
      <c r="E404" s="474">
        <v>5000</v>
      </c>
      <c r="F404" s="474"/>
      <c r="G404" s="474"/>
      <c r="H404" s="474"/>
      <c r="I404" s="393"/>
      <c r="J404" s="393"/>
      <c r="K404" s="393"/>
      <c r="L404" s="393"/>
      <c r="M404" s="393"/>
      <c r="N404" s="393"/>
      <c r="O404" s="393"/>
    </row>
    <row r="405" spans="1:15" hidden="1" x14ac:dyDescent="0.25">
      <c r="A405" s="393"/>
      <c r="B405" s="393"/>
      <c r="C405" s="474" t="s">
        <v>26</v>
      </c>
      <c r="D405" s="474"/>
      <c r="E405" s="474">
        <v>200000</v>
      </c>
      <c r="F405" s="474"/>
      <c r="G405" s="474"/>
      <c r="H405" s="474"/>
      <c r="I405" s="393"/>
      <c r="J405" s="393"/>
      <c r="K405" s="393"/>
      <c r="L405" s="393"/>
      <c r="M405" s="393"/>
      <c r="N405" s="393"/>
      <c r="O405" s="393"/>
    </row>
    <row r="406" spans="1:15" hidden="1" x14ac:dyDescent="0.25">
      <c r="A406" s="393"/>
      <c r="B406" s="393"/>
      <c r="C406" s="474"/>
      <c r="D406" s="474"/>
      <c r="E406" s="474">
        <v>0</v>
      </c>
      <c r="F406" s="474"/>
      <c r="G406" s="474"/>
      <c r="H406" s="474"/>
      <c r="I406" s="393"/>
      <c r="J406" s="393"/>
      <c r="K406" s="393"/>
      <c r="L406" s="393"/>
      <c r="M406" s="393"/>
      <c r="N406" s="393"/>
      <c r="O406" s="393"/>
    </row>
    <row r="407" spans="1:15" hidden="1" x14ac:dyDescent="0.25">
      <c r="A407" s="473" t="s">
        <v>255</v>
      </c>
      <c r="B407" s="473">
        <v>53511</v>
      </c>
      <c r="C407" s="475" t="s">
        <v>921</v>
      </c>
      <c r="D407" s="475"/>
      <c r="E407" s="475"/>
      <c r="F407" s="475">
        <v>270000</v>
      </c>
      <c r="G407" s="475"/>
      <c r="H407" s="475"/>
      <c r="I407" s="473"/>
      <c r="J407" s="393"/>
      <c r="K407" s="393"/>
      <c r="L407" s="393"/>
      <c r="M407" s="393"/>
      <c r="N407" s="393"/>
      <c r="O407" s="393"/>
    </row>
    <row r="408" spans="1:15" hidden="1" x14ac:dyDescent="0.25">
      <c r="A408" s="473" t="s">
        <v>262</v>
      </c>
      <c r="B408" s="473">
        <v>53551</v>
      </c>
      <c r="C408" s="475" t="s">
        <v>175</v>
      </c>
      <c r="D408" s="475"/>
      <c r="E408" s="475"/>
      <c r="F408" s="475"/>
      <c r="G408" s="475"/>
      <c r="H408" s="475"/>
      <c r="I408" s="473"/>
      <c r="J408" s="393"/>
      <c r="K408" s="393"/>
      <c r="L408" s="393"/>
      <c r="M408" s="393"/>
      <c r="N408" s="393"/>
      <c r="O408" s="393"/>
    </row>
    <row r="409" spans="1:15" hidden="1" x14ac:dyDescent="0.25">
      <c r="A409" s="473"/>
      <c r="B409" s="473"/>
      <c r="C409" s="475" t="s">
        <v>1192</v>
      </c>
      <c r="D409" s="475"/>
      <c r="E409" s="474">
        <v>1000</v>
      </c>
      <c r="F409" s="475">
        <f>SUM(E409)</f>
        <v>1000</v>
      </c>
      <c r="G409" s="475"/>
      <c r="H409" s="475"/>
      <c r="I409" s="473"/>
      <c r="J409" s="393"/>
      <c r="K409" s="393"/>
      <c r="L409" s="393"/>
      <c r="M409" s="393"/>
      <c r="N409" s="393"/>
      <c r="O409" s="393"/>
    </row>
    <row r="410" spans="1:15" s="381" customFormat="1" ht="15.75" hidden="1" x14ac:dyDescent="0.25">
      <c r="A410" s="497" t="s">
        <v>922</v>
      </c>
      <c r="B410" s="502"/>
      <c r="C410" s="503"/>
      <c r="D410" s="503"/>
      <c r="E410" s="503"/>
      <c r="F410" s="503"/>
      <c r="G410" s="498">
        <f>SUM(F375:F409)</f>
        <v>4097000</v>
      </c>
      <c r="H410" s="499"/>
      <c r="I410" s="507"/>
      <c r="J410" s="393"/>
      <c r="K410" s="393"/>
      <c r="L410" s="393"/>
      <c r="M410" s="393"/>
      <c r="N410" s="393"/>
      <c r="O410" s="393"/>
    </row>
    <row r="411" spans="1:15" s="381" customFormat="1" ht="16.5" hidden="1" thickBot="1" x14ac:dyDescent="0.3">
      <c r="A411" s="393"/>
      <c r="B411" s="393"/>
      <c r="C411" s="474"/>
      <c r="D411" s="474"/>
      <c r="E411" s="474"/>
      <c r="F411" s="474"/>
      <c r="G411" s="474"/>
      <c r="H411" s="474"/>
      <c r="I411" s="393"/>
      <c r="J411" s="393"/>
      <c r="K411" s="393"/>
      <c r="L411" s="393"/>
      <c r="M411" s="393"/>
      <c r="N411" s="393"/>
      <c r="O411" s="393"/>
    </row>
    <row r="412" spans="1:15" s="381" customFormat="1" ht="16.5" hidden="1" thickBot="1" x14ac:dyDescent="0.3">
      <c r="A412" s="695" t="s">
        <v>1427</v>
      </c>
      <c r="B412" s="696"/>
      <c r="C412" s="503"/>
      <c r="D412" s="503"/>
      <c r="E412" s="503"/>
      <c r="F412" s="503"/>
      <c r="G412" s="500">
        <f>SUM(F332:F411)</f>
        <v>26230380</v>
      </c>
      <c r="H412" s="663"/>
      <c r="I412" s="393"/>
      <c r="J412" s="393"/>
      <c r="K412" s="393"/>
      <c r="L412" s="393"/>
      <c r="M412" s="393"/>
      <c r="N412" s="393"/>
      <c r="O412" s="393"/>
    </row>
    <row r="413" spans="1:15" hidden="1" x14ac:dyDescent="0.25">
      <c r="A413" s="393"/>
      <c r="B413" s="393"/>
      <c r="C413" s="474"/>
      <c r="D413" s="474"/>
      <c r="E413" s="474"/>
      <c r="F413" s="474"/>
      <c r="G413" s="474"/>
      <c r="H413" s="474"/>
      <c r="I413" s="393"/>
      <c r="J413" s="393"/>
      <c r="K413" s="393"/>
      <c r="L413" s="393"/>
      <c r="M413" s="393"/>
      <c r="N413" s="393"/>
      <c r="O413" s="393"/>
    </row>
    <row r="414" spans="1:15" hidden="1" x14ac:dyDescent="0.25">
      <c r="A414" s="393"/>
      <c r="B414" s="393"/>
      <c r="C414" s="474"/>
      <c r="D414" s="474"/>
      <c r="E414" s="474"/>
      <c r="F414" s="474"/>
      <c r="G414" s="474"/>
      <c r="H414" s="474"/>
      <c r="I414" s="393"/>
      <c r="J414" s="393"/>
      <c r="K414" s="393"/>
      <c r="L414" s="393"/>
      <c r="M414" s="393"/>
      <c r="N414" s="393"/>
      <c r="O414" s="393"/>
    </row>
    <row r="415" spans="1:15" x14ac:dyDescent="0.25">
      <c r="A415" s="393"/>
      <c r="B415" s="393"/>
      <c r="C415" s="474"/>
      <c r="D415" s="474"/>
      <c r="E415" s="474"/>
      <c r="F415" s="474"/>
      <c r="G415" s="474"/>
      <c r="H415" s="474"/>
      <c r="I415" s="393"/>
      <c r="J415" s="393"/>
      <c r="K415" s="393"/>
      <c r="L415" s="393"/>
      <c r="M415" s="393"/>
      <c r="N415" s="393"/>
      <c r="O415" s="393"/>
    </row>
    <row r="416" spans="1:15" x14ac:dyDescent="0.25">
      <c r="A416" s="393"/>
      <c r="B416" s="393"/>
      <c r="C416" s="474"/>
      <c r="D416" s="474"/>
      <c r="E416" s="474"/>
      <c r="F416" s="474"/>
      <c r="G416" s="474"/>
      <c r="H416" s="474"/>
      <c r="I416" s="393"/>
      <c r="J416" s="393"/>
      <c r="K416" s="393"/>
      <c r="L416" s="393"/>
      <c r="M416" s="393"/>
      <c r="N416" s="393"/>
      <c r="O416" s="393"/>
    </row>
    <row r="417" spans="1:15" x14ac:dyDescent="0.25">
      <c r="A417" s="393"/>
      <c r="B417" s="393"/>
      <c r="C417" s="393"/>
      <c r="D417" s="393"/>
      <c r="E417" s="393"/>
      <c r="F417" s="393"/>
      <c r="G417" s="393"/>
      <c r="H417" s="393"/>
      <c r="I417" s="393"/>
      <c r="J417" s="393"/>
      <c r="K417" s="393"/>
      <c r="L417" s="393"/>
      <c r="M417" s="393"/>
      <c r="N417" s="393"/>
      <c r="O417" s="393"/>
    </row>
    <row r="418" spans="1:15" ht="15.75" thickBot="1" x14ac:dyDescent="0.3">
      <c r="A418" s="393"/>
      <c r="B418" s="393"/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  <c r="M418" s="393"/>
      <c r="N418" s="393"/>
      <c r="O418" s="393"/>
    </row>
    <row r="419" spans="1:15" x14ac:dyDescent="0.25">
      <c r="A419" s="701" t="s">
        <v>1222</v>
      </c>
      <c r="B419" s="702"/>
      <c r="C419" s="702"/>
      <c r="D419" s="702"/>
      <c r="E419" s="702"/>
      <c r="F419" s="703"/>
      <c r="G419" s="511"/>
      <c r="H419" s="393"/>
      <c r="I419" s="393"/>
      <c r="J419" s="393"/>
      <c r="K419" s="393"/>
      <c r="L419" s="393"/>
      <c r="M419" s="393"/>
      <c r="N419" s="393"/>
      <c r="O419" s="393"/>
    </row>
    <row r="420" spans="1:15" ht="15.75" thickBot="1" x14ac:dyDescent="0.3">
      <c r="A420" s="704" t="s">
        <v>1223</v>
      </c>
      <c r="B420" s="705"/>
      <c r="C420" s="705"/>
      <c r="D420" s="705"/>
      <c r="E420" s="705"/>
      <c r="F420" s="706"/>
      <c r="G420" s="508"/>
      <c r="H420" s="393"/>
      <c r="I420" s="393"/>
      <c r="J420" s="393"/>
      <c r="K420" s="393"/>
      <c r="L420" s="393"/>
      <c r="M420" s="393"/>
      <c r="N420" s="393"/>
      <c r="O420" s="393"/>
    </row>
    <row r="421" spans="1:15" x14ac:dyDescent="0.25">
      <c r="A421" s="509"/>
      <c r="B421" s="509"/>
      <c r="C421" s="509"/>
      <c r="D421" s="510"/>
      <c r="E421" s="510"/>
      <c r="F421" s="510"/>
      <c r="G421" s="510"/>
      <c r="H421" s="393"/>
      <c r="I421" s="393"/>
      <c r="J421" s="393"/>
      <c r="K421" s="393"/>
      <c r="L421" s="393"/>
      <c r="M421" s="393"/>
      <c r="N421" s="393"/>
      <c r="O421" s="393"/>
    </row>
    <row r="422" spans="1:15" x14ac:dyDescent="0.25">
      <c r="A422" s="707" t="s">
        <v>908</v>
      </c>
      <c r="B422" s="707"/>
      <c r="C422" s="707"/>
      <c r="D422" s="707"/>
      <c r="E422" s="707"/>
      <c r="F422" s="707"/>
      <c r="G422" s="511"/>
      <c r="H422" s="393"/>
      <c r="I422" s="393"/>
      <c r="J422" s="393"/>
      <c r="K422" s="393"/>
      <c r="L422" s="393"/>
      <c r="M422" s="393"/>
      <c r="N422" s="393"/>
      <c r="O422" s="393"/>
    </row>
    <row r="423" spans="1:15" x14ac:dyDescent="0.25">
      <c r="A423" s="481"/>
      <c r="B423" s="481"/>
      <c r="C423" s="481"/>
      <c r="D423" s="512"/>
      <c r="E423" s="512"/>
      <c r="F423" s="512"/>
      <c r="G423" s="512"/>
      <c r="H423" s="393"/>
      <c r="I423" s="393"/>
      <c r="J423" s="393"/>
      <c r="K423" s="393"/>
      <c r="L423" s="393"/>
      <c r="M423" s="393"/>
      <c r="N423" s="393"/>
      <c r="O423" s="393"/>
    </row>
    <row r="424" spans="1:15" x14ac:dyDescent="0.25">
      <c r="A424" s="708" t="s">
        <v>910</v>
      </c>
      <c r="B424" s="708"/>
      <c r="C424" s="708"/>
      <c r="D424" s="708"/>
      <c r="E424" s="708"/>
      <c r="F424" s="708"/>
      <c r="G424" s="505"/>
      <c r="H424" s="393"/>
      <c r="I424" s="393"/>
      <c r="J424" s="393"/>
      <c r="K424" s="393"/>
      <c r="L424" s="393"/>
      <c r="M424" s="393"/>
      <c r="N424" s="393"/>
      <c r="O424" s="393"/>
    </row>
    <row r="425" spans="1:15" x14ac:dyDescent="0.25">
      <c r="A425" s="473" t="s">
        <v>195</v>
      </c>
      <c r="B425" s="473">
        <v>511011</v>
      </c>
      <c r="C425" s="473" t="s">
        <v>877</v>
      </c>
      <c r="D425" s="512"/>
      <c r="E425" s="475">
        <f>SUM(F92+F186+F258+F332)</f>
        <v>58246860</v>
      </c>
      <c r="F425" s="512"/>
      <c r="G425" s="512"/>
      <c r="H425" s="393"/>
      <c r="I425" s="393"/>
      <c r="J425" s="393"/>
      <c r="K425" s="393"/>
      <c r="L425" s="393"/>
      <c r="M425" s="393"/>
      <c r="N425" s="393"/>
      <c r="O425" s="393"/>
    </row>
    <row r="426" spans="1:15" x14ac:dyDescent="0.25">
      <c r="A426" s="473" t="s">
        <v>197</v>
      </c>
      <c r="B426" s="473">
        <v>511021</v>
      </c>
      <c r="C426" s="473" t="s">
        <v>23</v>
      </c>
      <c r="D426" s="513"/>
      <c r="E426" s="475">
        <f>SUM(F108+F196+F265+F345)</f>
        <v>1847500</v>
      </c>
      <c r="F426" s="512"/>
      <c r="G426" s="512"/>
      <c r="H426" s="393"/>
      <c r="I426" s="393"/>
      <c r="J426" s="393"/>
      <c r="K426" s="393"/>
      <c r="L426" s="393"/>
      <c r="M426" s="393"/>
      <c r="N426" s="393"/>
      <c r="O426" s="393"/>
    </row>
    <row r="427" spans="1:15" x14ac:dyDescent="0.25">
      <c r="A427" s="473" t="s">
        <v>204</v>
      </c>
      <c r="B427" s="473">
        <v>511061</v>
      </c>
      <c r="C427" s="473" t="s">
        <v>16</v>
      </c>
      <c r="D427" s="480"/>
      <c r="E427" s="475">
        <f>SUM(F109+F197+F268+F350)</f>
        <v>2501760</v>
      </c>
      <c r="F427" s="512"/>
      <c r="G427" s="512"/>
      <c r="H427" s="393"/>
      <c r="I427" s="393"/>
      <c r="J427" s="393"/>
      <c r="K427" s="393"/>
      <c r="L427" s="393"/>
      <c r="M427" s="393"/>
      <c r="N427" s="393"/>
      <c r="O427" s="393"/>
    </row>
    <row r="428" spans="1:15" x14ac:dyDescent="0.25">
      <c r="A428" s="473" t="s">
        <v>206</v>
      </c>
      <c r="B428" s="473">
        <v>511071</v>
      </c>
      <c r="C428" s="473" t="s">
        <v>205</v>
      </c>
      <c r="D428" s="475"/>
      <c r="E428" s="475">
        <f>SUM(F111+F199+F270+F352)</f>
        <v>2600000</v>
      </c>
      <c r="F428" s="512"/>
      <c r="G428" s="512"/>
      <c r="H428" s="393"/>
      <c r="I428" s="393"/>
      <c r="J428" s="393"/>
      <c r="K428" s="393"/>
      <c r="L428" s="393"/>
      <c r="M428" s="393"/>
      <c r="N428" s="393"/>
      <c r="O428" s="393"/>
    </row>
    <row r="429" spans="1:15" x14ac:dyDescent="0.25">
      <c r="A429" s="473" t="s">
        <v>208</v>
      </c>
      <c r="B429" s="473">
        <v>511091</v>
      </c>
      <c r="C429" s="473" t="s">
        <v>34</v>
      </c>
      <c r="D429" s="513"/>
      <c r="E429" s="475">
        <f>SUM(F117+F203+F272+F358)</f>
        <v>520500</v>
      </c>
      <c r="F429" s="512"/>
      <c r="G429" s="512"/>
      <c r="H429" s="393"/>
      <c r="I429" s="393"/>
      <c r="J429" s="393"/>
      <c r="K429" s="393"/>
      <c r="L429" s="393"/>
      <c r="M429" s="393"/>
      <c r="N429" s="393"/>
      <c r="O429" s="393"/>
    </row>
    <row r="430" spans="1:15" x14ac:dyDescent="0.25">
      <c r="A430" s="473" t="s">
        <v>210</v>
      </c>
      <c r="B430" s="473">
        <v>5111101</v>
      </c>
      <c r="C430" s="473" t="s">
        <v>878</v>
      </c>
      <c r="D430" s="513"/>
      <c r="E430" s="475">
        <f>SUM(F120+F205+F274+F360)</f>
        <v>450000</v>
      </c>
      <c r="F430" s="512"/>
      <c r="G430" s="512"/>
      <c r="H430" s="393"/>
      <c r="I430" s="393"/>
      <c r="J430" s="393"/>
      <c r="K430" s="393"/>
      <c r="L430" s="393"/>
      <c r="M430" s="393"/>
      <c r="N430" s="393"/>
      <c r="O430" s="393"/>
    </row>
    <row r="431" spans="1:15" x14ac:dyDescent="0.25">
      <c r="A431" s="478" t="s">
        <v>912</v>
      </c>
      <c r="B431" s="491"/>
      <c r="C431" s="487"/>
      <c r="D431" s="665"/>
      <c r="E431" s="665"/>
      <c r="F431" s="479">
        <f>SUM(E425:E430)</f>
        <v>66166620</v>
      </c>
      <c r="G431" s="512"/>
      <c r="H431" s="393"/>
      <c r="I431" s="393"/>
      <c r="J431" s="393"/>
      <c r="K431" s="393"/>
      <c r="L431" s="393"/>
      <c r="M431" s="393"/>
      <c r="N431" s="393"/>
      <c r="O431" s="393"/>
    </row>
    <row r="432" spans="1:15" x14ac:dyDescent="0.25">
      <c r="A432" s="473" t="s">
        <v>228</v>
      </c>
      <c r="B432" s="481"/>
      <c r="C432" s="473" t="s">
        <v>913</v>
      </c>
      <c r="D432" s="480"/>
      <c r="E432" s="475">
        <f>SUM(D433:D434)</f>
        <v>8470785.5999999996</v>
      </c>
      <c r="F432" s="513"/>
      <c r="G432" s="512"/>
      <c r="H432" s="393"/>
      <c r="I432" s="393"/>
      <c r="J432" s="393"/>
      <c r="K432" s="393"/>
      <c r="L432" s="393"/>
      <c r="M432" s="393"/>
      <c r="N432" s="393"/>
      <c r="O432" s="393"/>
    </row>
    <row r="433" spans="1:15" x14ac:dyDescent="0.25">
      <c r="A433" s="473" t="s">
        <v>228</v>
      </c>
      <c r="B433" s="481">
        <v>5231</v>
      </c>
      <c r="C433" s="473" t="s">
        <v>1224</v>
      </c>
      <c r="D433" s="480">
        <f>SUM(E126+E213+E278+E367)</f>
        <v>8188785.5999999996</v>
      </c>
      <c r="E433" s="480"/>
      <c r="F433" s="512"/>
      <c r="G433" s="512"/>
      <c r="H433" s="393"/>
      <c r="I433" s="393"/>
      <c r="J433" s="393"/>
      <c r="K433" s="393"/>
      <c r="L433" s="393"/>
      <c r="M433" s="393"/>
      <c r="N433" s="393"/>
      <c r="O433" s="393"/>
    </row>
    <row r="434" spans="1:15" x14ac:dyDescent="0.25">
      <c r="A434" s="481"/>
      <c r="B434" s="481">
        <v>5237</v>
      </c>
      <c r="C434" s="481" t="s">
        <v>914</v>
      </c>
      <c r="D434" s="480">
        <f>SUM(E134+E217+E283+E372)</f>
        <v>282000</v>
      </c>
      <c r="E434" s="480"/>
      <c r="F434" s="512"/>
      <c r="G434" s="512"/>
      <c r="H434" s="393"/>
      <c r="I434" s="393"/>
      <c r="J434" s="393"/>
      <c r="K434" s="393"/>
      <c r="L434" s="393"/>
      <c r="M434" s="393"/>
      <c r="N434" s="393"/>
      <c r="O434" s="393"/>
    </row>
    <row r="435" spans="1:15" x14ac:dyDescent="0.25">
      <c r="A435" s="478" t="s">
        <v>916</v>
      </c>
      <c r="B435" s="491"/>
      <c r="C435" s="491"/>
      <c r="D435" s="665"/>
      <c r="E435" s="665"/>
      <c r="F435" s="479">
        <f>SUM(E432)</f>
        <v>8470785.5999999996</v>
      </c>
      <c r="G435" s="512"/>
      <c r="H435" s="393"/>
      <c r="I435" s="393"/>
      <c r="J435" s="393"/>
      <c r="K435" s="393"/>
      <c r="L435" s="393"/>
      <c r="M435" s="393"/>
      <c r="N435" s="393"/>
      <c r="O435" s="393"/>
    </row>
    <row r="436" spans="1:15" x14ac:dyDescent="0.25">
      <c r="A436" s="473" t="s">
        <v>229</v>
      </c>
      <c r="B436" s="473">
        <v>53111</v>
      </c>
      <c r="C436" s="473" t="s">
        <v>157</v>
      </c>
      <c r="D436" s="512"/>
      <c r="E436" s="475">
        <f>SUM(F138+F220+F286+F375)</f>
        <v>298000</v>
      </c>
      <c r="F436" s="480"/>
      <c r="G436" s="512"/>
      <c r="H436" s="393"/>
      <c r="I436" s="393"/>
      <c r="J436" s="393"/>
      <c r="K436" s="393"/>
      <c r="L436" s="393"/>
      <c r="M436" s="393"/>
      <c r="N436" s="393"/>
      <c r="O436" s="393"/>
    </row>
    <row r="437" spans="1:15" x14ac:dyDescent="0.25">
      <c r="A437" s="473" t="s">
        <v>230</v>
      </c>
      <c r="B437" s="473">
        <v>53121</v>
      </c>
      <c r="C437" s="473" t="s">
        <v>138</v>
      </c>
      <c r="D437" s="513"/>
      <c r="E437" s="475">
        <f>SUM(F142+F224+F290+F379)</f>
        <v>895000</v>
      </c>
      <c r="F437" s="475"/>
      <c r="G437" s="513"/>
      <c r="H437" s="393"/>
      <c r="I437" s="393"/>
      <c r="J437" s="393"/>
      <c r="K437" s="393"/>
      <c r="L437" s="393"/>
      <c r="M437" s="393"/>
      <c r="N437" s="393"/>
      <c r="O437" s="393"/>
    </row>
    <row r="438" spans="1:15" x14ac:dyDescent="0.25">
      <c r="A438" s="473" t="s">
        <v>235</v>
      </c>
      <c r="B438" s="473">
        <v>53211</v>
      </c>
      <c r="C438" s="473" t="s">
        <v>894</v>
      </c>
      <c r="D438" s="513"/>
      <c r="E438" s="475">
        <f>SUM(F146+F227+F293+F384)</f>
        <v>2338000</v>
      </c>
      <c r="F438" s="475"/>
      <c r="G438" s="513"/>
      <c r="H438" s="393"/>
      <c r="I438" s="393"/>
      <c r="J438" s="393"/>
      <c r="K438" s="393"/>
      <c r="L438" s="393"/>
      <c r="M438" s="393"/>
      <c r="N438" s="393"/>
      <c r="O438" s="393"/>
    </row>
    <row r="439" spans="1:15" x14ac:dyDescent="0.25">
      <c r="A439" s="473" t="s">
        <v>237</v>
      </c>
      <c r="B439" s="473">
        <v>53221</v>
      </c>
      <c r="C439" s="473" t="s">
        <v>917</v>
      </c>
      <c r="D439" s="513"/>
      <c r="E439" s="475">
        <f>SUM(F152+F233+F299+F389)</f>
        <v>264000</v>
      </c>
      <c r="F439" s="475"/>
      <c r="G439" s="513"/>
      <c r="H439" s="393"/>
      <c r="I439" s="393"/>
      <c r="J439" s="393"/>
      <c r="K439" s="393"/>
      <c r="L439" s="393"/>
      <c r="M439" s="393"/>
      <c r="N439" s="393"/>
      <c r="O439" s="393"/>
    </row>
    <row r="440" spans="1:15" x14ac:dyDescent="0.25">
      <c r="A440" s="473" t="s">
        <v>242</v>
      </c>
      <c r="B440" s="473">
        <v>53331</v>
      </c>
      <c r="C440" s="473" t="s">
        <v>901</v>
      </c>
      <c r="D440" s="513"/>
      <c r="E440" s="475">
        <f>SUM(F154)</f>
        <v>32000</v>
      </c>
      <c r="F440" s="475"/>
      <c r="G440" s="513"/>
      <c r="H440" s="393"/>
      <c r="I440" s="393"/>
      <c r="J440" s="393"/>
      <c r="K440" s="393"/>
      <c r="L440" s="393"/>
      <c r="M440" s="393"/>
      <c r="N440" s="393"/>
      <c r="O440" s="393"/>
    </row>
    <row r="441" spans="1:15" x14ac:dyDescent="0.25">
      <c r="A441" s="473" t="s">
        <v>243</v>
      </c>
      <c r="B441" s="473">
        <v>53341</v>
      </c>
      <c r="C441" s="473" t="s">
        <v>918</v>
      </c>
      <c r="D441" s="513"/>
      <c r="E441" s="475">
        <f>SUM(F156+F235+F301+F391)</f>
        <v>10000</v>
      </c>
      <c r="F441" s="475"/>
      <c r="G441" s="513"/>
      <c r="H441" s="393"/>
      <c r="I441" s="393"/>
      <c r="J441" s="393"/>
      <c r="K441" s="393"/>
      <c r="L441" s="393"/>
      <c r="M441" s="393"/>
      <c r="N441" s="393"/>
      <c r="O441" s="393"/>
    </row>
    <row r="442" spans="1:15" x14ac:dyDescent="0.25">
      <c r="A442" s="473" t="s">
        <v>244</v>
      </c>
      <c r="B442" s="473">
        <v>53351</v>
      </c>
      <c r="C442" s="473" t="s">
        <v>919</v>
      </c>
      <c r="D442" s="513"/>
      <c r="E442" s="475">
        <f>SUM(F158+F237+F303+F393)</f>
        <v>0</v>
      </c>
      <c r="F442" s="475"/>
      <c r="G442" s="513"/>
      <c r="H442" s="393"/>
      <c r="I442" s="393"/>
      <c r="J442" s="393"/>
      <c r="K442" s="393"/>
      <c r="L442" s="393"/>
      <c r="M442" s="393"/>
      <c r="N442" s="393"/>
      <c r="O442" s="393"/>
    </row>
    <row r="443" spans="1:15" x14ac:dyDescent="0.25">
      <c r="A443" s="473" t="s">
        <v>246</v>
      </c>
      <c r="B443" s="473">
        <v>53361</v>
      </c>
      <c r="C443" s="473" t="s">
        <v>920</v>
      </c>
      <c r="D443" s="513"/>
      <c r="E443" s="475">
        <f>SUM(F160+F239+F305+F395)</f>
        <v>2628000</v>
      </c>
      <c r="F443" s="475"/>
      <c r="G443" s="513"/>
      <c r="H443" s="393"/>
      <c r="I443" s="393"/>
      <c r="J443" s="393"/>
      <c r="K443" s="393"/>
      <c r="L443" s="393"/>
      <c r="M443" s="393"/>
      <c r="N443" s="393"/>
      <c r="O443" s="393"/>
    </row>
    <row r="444" spans="1:15" x14ac:dyDescent="0.25">
      <c r="A444" s="473" t="s">
        <v>247</v>
      </c>
      <c r="B444" s="473">
        <v>53371</v>
      </c>
      <c r="C444" s="473" t="s">
        <v>134</v>
      </c>
      <c r="D444" s="513"/>
      <c r="E444" s="475">
        <f>SUM(F162+F241+F308+F398)</f>
        <v>2100000</v>
      </c>
      <c r="F444" s="475"/>
      <c r="G444" s="513"/>
      <c r="H444" s="393"/>
      <c r="I444" s="393"/>
      <c r="J444" s="393"/>
      <c r="K444" s="393"/>
      <c r="L444" s="393"/>
      <c r="M444" s="393"/>
      <c r="N444" s="393"/>
      <c r="O444" s="393"/>
    </row>
    <row r="445" spans="1:15" x14ac:dyDescent="0.25">
      <c r="A445" s="473" t="s">
        <v>250</v>
      </c>
      <c r="B445" s="473">
        <v>53411</v>
      </c>
      <c r="C445" s="473" t="s">
        <v>155</v>
      </c>
      <c r="D445" s="513"/>
      <c r="E445" s="475">
        <f>SUM(F167+F246+F313+F403)</f>
        <v>287000</v>
      </c>
      <c r="F445" s="475"/>
      <c r="G445" s="513"/>
      <c r="H445" s="393"/>
      <c r="I445" s="393"/>
      <c r="J445" s="393"/>
      <c r="K445" s="393"/>
      <c r="L445" s="393"/>
      <c r="M445" s="393"/>
      <c r="N445" s="393"/>
      <c r="O445" s="393"/>
    </row>
    <row r="446" spans="1:15" x14ac:dyDescent="0.25">
      <c r="A446" s="473" t="s">
        <v>255</v>
      </c>
      <c r="B446" s="473">
        <v>53511</v>
      </c>
      <c r="C446" s="473" t="s">
        <v>921</v>
      </c>
      <c r="D446" s="513"/>
      <c r="E446" s="475">
        <f>SUM(F171+F248+F315+F407)</f>
        <v>1270000</v>
      </c>
      <c r="F446" s="475"/>
      <c r="G446" s="513"/>
      <c r="H446" s="393"/>
      <c r="I446" s="393"/>
      <c r="J446" s="393"/>
      <c r="K446" s="393"/>
      <c r="L446" s="393"/>
      <c r="M446" s="393"/>
      <c r="N446" s="393"/>
      <c r="O446" s="393"/>
    </row>
    <row r="447" spans="1:15" x14ac:dyDescent="0.25">
      <c r="A447" s="473" t="s">
        <v>262</v>
      </c>
      <c r="B447" s="473">
        <v>53551</v>
      </c>
      <c r="C447" s="473" t="s">
        <v>175</v>
      </c>
      <c r="D447" s="513"/>
      <c r="E447" s="475">
        <f>SUM(F173+F250+F317+F409)</f>
        <v>5000</v>
      </c>
      <c r="F447" s="475"/>
      <c r="G447" s="513"/>
      <c r="H447" s="393"/>
      <c r="I447" s="393"/>
      <c r="J447" s="393"/>
      <c r="K447" s="393"/>
      <c r="L447" s="393"/>
      <c r="M447" s="393"/>
      <c r="N447" s="393"/>
      <c r="O447" s="393"/>
    </row>
    <row r="448" spans="1:15" x14ac:dyDescent="0.25">
      <c r="A448" s="478" t="s">
        <v>922</v>
      </c>
      <c r="B448" s="487"/>
      <c r="C448" s="487"/>
      <c r="D448" s="493"/>
      <c r="E448" s="488"/>
      <c r="F448" s="479">
        <f>SUM(E436:E447)</f>
        <v>10127000</v>
      </c>
      <c r="G448" s="513"/>
      <c r="H448" s="393"/>
      <c r="I448" s="393"/>
      <c r="J448" s="393"/>
      <c r="K448" s="393"/>
      <c r="L448" s="393"/>
      <c r="M448" s="393"/>
      <c r="N448" s="393"/>
      <c r="O448" s="393"/>
    </row>
    <row r="449" spans="1:15" x14ac:dyDescent="0.25">
      <c r="A449" s="487" t="s">
        <v>317</v>
      </c>
      <c r="B449" s="487">
        <v>5641</v>
      </c>
      <c r="C449" s="487" t="s">
        <v>1269</v>
      </c>
      <c r="D449" s="488"/>
      <c r="E449" s="488">
        <f>SUM(F175+F320)</f>
        <v>0</v>
      </c>
      <c r="F449" s="488"/>
      <c r="G449" s="513"/>
      <c r="H449" s="393"/>
      <c r="I449" s="393"/>
      <c r="J449" s="393"/>
      <c r="K449" s="393"/>
      <c r="L449" s="393"/>
      <c r="M449" s="393"/>
      <c r="N449" s="393"/>
      <c r="O449" s="393"/>
    </row>
    <row r="450" spans="1:15" x14ac:dyDescent="0.25">
      <c r="A450" s="487" t="s">
        <v>322</v>
      </c>
      <c r="B450" s="487">
        <v>5671</v>
      </c>
      <c r="C450" s="487" t="s">
        <v>1272</v>
      </c>
      <c r="D450" s="493"/>
      <c r="E450" s="488">
        <f>SUM(F177+E323)</f>
        <v>0</v>
      </c>
      <c r="F450" s="488"/>
      <c r="G450" s="513"/>
      <c r="H450" s="393"/>
      <c r="I450" s="393"/>
      <c r="J450" s="393"/>
      <c r="K450" s="393"/>
      <c r="L450" s="393"/>
      <c r="M450" s="393"/>
      <c r="N450" s="393"/>
      <c r="O450" s="393"/>
    </row>
    <row r="451" spans="1:15" ht="15.75" thickBot="1" x14ac:dyDescent="0.3">
      <c r="A451" s="478" t="s">
        <v>1271</v>
      </c>
      <c r="B451" s="487"/>
      <c r="C451" s="487"/>
      <c r="D451" s="493"/>
      <c r="E451" s="488"/>
      <c r="F451" s="479">
        <f>SUM(E449:E450)</f>
        <v>0</v>
      </c>
      <c r="G451" s="513"/>
      <c r="H451" s="393"/>
      <c r="I451" s="393"/>
      <c r="J451" s="393"/>
      <c r="K451" s="393"/>
      <c r="L451" s="393"/>
      <c r="M451" s="393"/>
      <c r="N451" s="393"/>
      <c r="O451" s="393"/>
    </row>
    <row r="452" spans="1:15" ht="15.75" thickBot="1" x14ac:dyDescent="0.3">
      <c r="A452" s="697" t="s">
        <v>1428</v>
      </c>
      <c r="B452" s="697"/>
      <c r="C452" s="487"/>
      <c r="D452" s="665"/>
      <c r="E452" s="489"/>
      <c r="F452" s="514">
        <f>SUM(E425:E451)</f>
        <v>84764405.599999994</v>
      </c>
      <c r="G452" s="494"/>
      <c r="H452" s="393"/>
      <c r="I452" s="393"/>
      <c r="J452" s="393"/>
      <c r="K452" s="393"/>
      <c r="L452" s="393"/>
      <c r="M452" s="393"/>
      <c r="N452" s="393"/>
      <c r="O452" s="393"/>
    </row>
    <row r="453" spans="1:15" x14ac:dyDescent="0.25">
      <c r="A453" s="481"/>
      <c r="B453" s="481"/>
      <c r="C453" s="481"/>
      <c r="D453" s="512"/>
      <c r="E453" s="512"/>
      <c r="F453" s="512"/>
      <c r="G453" s="512"/>
      <c r="H453" s="393"/>
      <c r="I453" s="393"/>
      <c r="J453" s="393"/>
      <c r="K453" s="393"/>
      <c r="L453" s="393"/>
      <c r="M453" s="393"/>
      <c r="N453" s="393"/>
      <c r="O453" s="393"/>
    </row>
    <row r="454" spans="1:15" hidden="1" x14ac:dyDescent="0.25">
      <c r="A454" s="481"/>
      <c r="B454" s="481"/>
      <c r="C454" s="481" t="s">
        <v>1302</v>
      </c>
      <c r="D454" s="480">
        <f>SUM(F431+F435)</f>
        <v>74637405.599999994</v>
      </c>
      <c r="E454" s="512"/>
      <c r="F454" s="512"/>
      <c r="G454" s="512"/>
      <c r="H454" s="393"/>
      <c r="I454" s="393"/>
      <c r="J454" s="393"/>
      <c r="K454" s="393"/>
      <c r="L454" s="393"/>
      <c r="M454" s="393"/>
      <c r="N454" s="393"/>
      <c r="O454" s="393"/>
    </row>
    <row r="455" spans="1:15" hidden="1" x14ac:dyDescent="0.25">
      <c r="A455" s="393"/>
      <c r="B455" s="393"/>
      <c r="C455" s="393" t="s">
        <v>1303</v>
      </c>
      <c r="D455" s="474">
        <f>SUM(F448+F451)</f>
        <v>10127000</v>
      </c>
      <c r="E455" s="393"/>
      <c r="F455" s="393"/>
      <c r="G455" s="393"/>
      <c r="H455" s="393"/>
      <c r="I455" s="393"/>
      <c r="J455" s="393"/>
      <c r="K455" s="393"/>
      <c r="L455" s="393"/>
      <c r="M455" s="393"/>
      <c r="N455" s="393"/>
      <c r="O455" s="393"/>
    </row>
    <row r="456" spans="1:15" hidden="1" x14ac:dyDescent="0.25">
      <c r="A456" s="393"/>
      <c r="B456" s="393"/>
      <c r="C456" s="393"/>
      <c r="D456" s="474">
        <f>SUM(D454:D455)</f>
        <v>84764405.599999994</v>
      </c>
      <c r="E456" s="393"/>
      <c r="F456" s="474">
        <f>SUM(H180+H252+H325+H412)</f>
        <v>0</v>
      </c>
      <c r="G456" s="393"/>
      <c r="H456" s="393"/>
      <c r="I456" s="393"/>
      <c r="J456" s="393"/>
      <c r="K456" s="393"/>
      <c r="L456" s="393"/>
      <c r="M456" s="393"/>
      <c r="N456" s="393"/>
      <c r="O456" s="393"/>
    </row>
    <row r="457" spans="1:15" hidden="1" x14ac:dyDescent="0.25">
      <c r="A457" s="393"/>
      <c r="B457" s="393"/>
      <c r="C457" s="393"/>
      <c r="D457" s="393"/>
      <c r="E457" s="393"/>
      <c r="F457" s="393"/>
      <c r="G457" s="393"/>
      <c r="H457" s="393"/>
      <c r="I457" s="393"/>
      <c r="J457" s="393"/>
      <c r="K457" s="393"/>
      <c r="L457" s="393"/>
      <c r="M457" s="393"/>
      <c r="N457" s="393"/>
      <c r="O457" s="393"/>
    </row>
    <row r="458" spans="1:15" hidden="1" x14ac:dyDescent="0.25">
      <c r="A458" s="393"/>
      <c r="B458" s="393"/>
      <c r="C458" s="393"/>
      <c r="D458" s="393"/>
      <c r="E458" s="393"/>
      <c r="F458" s="474">
        <f>SUM(F452-F456)</f>
        <v>84764405.599999994</v>
      </c>
      <c r="G458" s="393"/>
      <c r="H458" s="393"/>
      <c r="I458" s="393"/>
      <c r="J458" s="393"/>
      <c r="K458" s="393"/>
      <c r="L458" s="393"/>
      <c r="M458" s="393"/>
      <c r="N458" s="393"/>
      <c r="O458" s="393"/>
    </row>
    <row r="459" spans="1:15" x14ac:dyDescent="0.25">
      <c r="A459" s="393"/>
      <c r="B459" s="393"/>
      <c r="C459" s="393"/>
      <c r="D459" s="393"/>
      <c r="E459" s="393"/>
      <c r="F459" s="393"/>
      <c r="G459" s="393"/>
      <c r="H459" s="393"/>
      <c r="I459" s="393"/>
      <c r="J459" s="393"/>
      <c r="K459" s="393"/>
      <c r="L459" s="393"/>
      <c r="M459" s="393"/>
      <c r="N459" s="393"/>
      <c r="O459" s="393"/>
    </row>
    <row r="460" spans="1:15" x14ac:dyDescent="0.25">
      <c r="A460" s="393"/>
      <c r="B460" s="393"/>
      <c r="C460" s="393"/>
      <c r="D460" s="393"/>
      <c r="E460" s="393"/>
      <c r="F460" s="393"/>
      <c r="G460" s="393"/>
      <c r="H460" s="393"/>
      <c r="I460" s="393"/>
      <c r="J460" s="393"/>
      <c r="K460" s="393"/>
      <c r="L460" s="393"/>
      <c r="M460" s="393"/>
      <c r="N460" s="393"/>
      <c r="O460" s="393"/>
    </row>
    <row r="461" spans="1:15" x14ac:dyDescent="0.25">
      <c r="A461" s="393"/>
      <c r="B461" s="393"/>
      <c r="C461" s="393"/>
      <c r="D461" s="393"/>
      <c r="E461" s="393"/>
      <c r="F461" s="393"/>
      <c r="G461" s="393"/>
      <c r="H461" s="393"/>
      <c r="I461" s="393"/>
      <c r="J461" s="393"/>
      <c r="K461" s="393"/>
      <c r="L461" s="393"/>
      <c r="M461" s="393"/>
      <c r="N461" s="393"/>
      <c r="O461" s="393"/>
    </row>
    <row r="462" spans="1:15" x14ac:dyDescent="0.25">
      <c r="A462" s="393"/>
      <c r="B462" s="393"/>
      <c r="C462" s="393"/>
      <c r="D462" s="393"/>
      <c r="E462" s="393"/>
      <c r="F462" s="393"/>
      <c r="G462" s="393"/>
      <c r="H462" s="393"/>
      <c r="I462" s="393"/>
      <c r="J462" s="393"/>
      <c r="K462" s="393"/>
      <c r="L462" s="393"/>
      <c r="M462" s="393"/>
      <c r="N462" s="393"/>
      <c r="O462" s="393"/>
    </row>
    <row r="463" spans="1:15" x14ac:dyDescent="0.25">
      <c r="A463" s="393"/>
      <c r="B463" s="393"/>
      <c r="C463" s="393"/>
      <c r="D463" s="393"/>
      <c r="E463" s="393"/>
      <c r="F463" s="393"/>
      <c r="G463" s="393"/>
      <c r="H463" s="393"/>
      <c r="I463" s="393"/>
      <c r="J463" s="393"/>
      <c r="K463" s="393"/>
      <c r="L463" s="393"/>
      <c r="M463" s="393"/>
      <c r="N463" s="393"/>
      <c r="O463" s="393"/>
    </row>
    <row r="464" spans="1:15" x14ac:dyDescent="0.25">
      <c r="A464" s="393"/>
      <c r="B464" s="393"/>
      <c r="C464" s="393"/>
      <c r="D464" s="393"/>
      <c r="E464" s="393"/>
      <c r="F464" s="393"/>
      <c r="G464" s="393"/>
      <c r="H464" s="393"/>
      <c r="I464" s="393"/>
      <c r="J464" s="393"/>
      <c r="K464" s="393"/>
      <c r="L464" s="393"/>
      <c r="M464" s="393"/>
      <c r="N464" s="393"/>
      <c r="O464" s="393"/>
    </row>
    <row r="465" spans="1:15" x14ac:dyDescent="0.25">
      <c r="A465" s="393"/>
      <c r="B465" s="393"/>
      <c r="C465" s="393"/>
      <c r="D465" s="393"/>
      <c r="E465" s="393"/>
      <c r="F465" s="393"/>
      <c r="G465" s="393"/>
      <c r="H465" s="393"/>
      <c r="I465" s="393"/>
      <c r="J465" s="393"/>
      <c r="K465" s="393"/>
      <c r="L465" s="393"/>
      <c r="M465" s="393"/>
      <c r="N465" s="393"/>
      <c r="O465" s="393"/>
    </row>
    <row r="466" spans="1:15" x14ac:dyDescent="0.25">
      <c r="A466" s="393"/>
      <c r="B466" s="393"/>
      <c r="C466" s="393"/>
      <c r="D466" s="393"/>
      <c r="E466" s="393"/>
      <c r="F466" s="393"/>
      <c r="G466" s="393"/>
      <c r="H466" s="393"/>
      <c r="I466" s="393"/>
      <c r="J466" s="393"/>
      <c r="K466" s="393"/>
      <c r="L466" s="393"/>
      <c r="M466" s="393"/>
      <c r="N466" s="393"/>
      <c r="O466" s="393"/>
    </row>
    <row r="467" spans="1:15" x14ac:dyDescent="0.25">
      <c r="A467" s="393"/>
      <c r="B467" s="393"/>
      <c r="C467" s="393"/>
      <c r="D467" s="393"/>
      <c r="E467" s="393"/>
      <c r="F467" s="393"/>
      <c r="G467" s="393"/>
      <c r="H467" s="393"/>
      <c r="I467" s="393"/>
      <c r="J467" s="393"/>
      <c r="K467" s="393"/>
      <c r="L467" s="393"/>
      <c r="M467" s="393"/>
      <c r="N467" s="393"/>
      <c r="O467" s="393"/>
    </row>
    <row r="468" spans="1:15" x14ac:dyDescent="0.25">
      <c r="A468" s="393"/>
      <c r="B468" s="393"/>
      <c r="C468" s="393"/>
      <c r="D468" s="393"/>
      <c r="E468" s="393"/>
      <c r="F468" s="393"/>
      <c r="G468" s="393"/>
      <c r="H468" s="393"/>
      <c r="I468" s="393"/>
      <c r="J468" s="393"/>
      <c r="K468" s="393"/>
      <c r="L468" s="393"/>
      <c r="M468" s="393"/>
      <c r="N468" s="393"/>
      <c r="O468" s="393"/>
    </row>
    <row r="469" spans="1:15" x14ac:dyDescent="0.25">
      <c r="A469" s="393"/>
      <c r="B469" s="393"/>
      <c r="C469" s="393"/>
      <c r="D469" s="393"/>
      <c r="E469" s="393"/>
      <c r="F469" s="393"/>
      <c r="G469" s="393"/>
      <c r="H469" s="393"/>
      <c r="I469" s="393"/>
      <c r="J469" s="393"/>
      <c r="K469" s="393"/>
      <c r="L469" s="393"/>
      <c r="M469" s="393"/>
      <c r="N469" s="393"/>
      <c r="O469" s="393"/>
    </row>
    <row r="470" spans="1:15" x14ac:dyDescent="0.25">
      <c r="A470" s="393"/>
      <c r="B470" s="393"/>
      <c r="C470" s="393"/>
      <c r="D470" s="393"/>
      <c r="E470" s="393"/>
      <c r="F470" s="393"/>
      <c r="G470" s="393"/>
      <c r="H470" s="393"/>
      <c r="I470" s="393"/>
      <c r="J470" s="393"/>
      <c r="K470" s="393"/>
      <c r="L470" s="393"/>
      <c r="M470" s="393"/>
      <c r="N470" s="393"/>
      <c r="O470" s="393"/>
    </row>
    <row r="471" spans="1:15" x14ac:dyDescent="0.25">
      <c r="A471" s="393"/>
      <c r="B471" s="393"/>
      <c r="C471" s="393"/>
      <c r="D471" s="393"/>
      <c r="E471" s="393"/>
      <c r="F471" s="393"/>
      <c r="G471" s="393"/>
      <c r="H471" s="393"/>
      <c r="I471" s="393"/>
      <c r="J471" s="393"/>
      <c r="K471" s="393"/>
      <c r="L471" s="393"/>
      <c r="M471" s="393"/>
      <c r="N471" s="393"/>
      <c r="O471" s="393"/>
    </row>
    <row r="472" spans="1:15" x14ac:dyDescent="0.25">
      <c r="A472" s="393"/>
      <c r="B472" s="393"/>
      <c r="C472" s="393"/>
      <c r="D472" s="393"/>
      <c r="E472" s="393"/>
      <c r="F472" s="393"/>
      <c r="G472" s="393"/>
      <c r="H472" s="393"/>
      <c r="I472" s="393"/>
      <c r="J472" s="393"/>
      <c r="K472" s="393"/>
      <c r="L472" s="393"/>
      <c r="M472" s="393"/>
      <c r="N472" s="393"/>
      <c r="O472" s="393"/>
    </row>
    <row r="473" spans="1:15" x14ac:dyDescent="0.25">
      <c r="A473" s="393"/>
      <c r="B473" s="393"/>
      <c r="C473" s="393"/>
      <c r="D473" s="393"/>
      <c r="E473" s="393"/>
      <c r="F473" s="393"/>
      <c r="G473" s="393"/>
      <c r="H473" s="393"/>
      <c r="I473" s="393"/>
      <c r="J473" s="393"/>
      <c r="K473" s="393"/>
      <c r="L473" s="393"/>
      <c r="M473" s="393"/>
      <c r="N473" s="393"/>
      <c r="O473" s="393"/>
    </row>
    <row r="474" spans="1:15" x14ac:dyDescent="0.25">
      <c r="A474" s="393"/>
      <c r="B474" s="393"/>
      <c r="C474" s="393"/>
      <c r="D474" s="393"/>
      <c r="E474" s="393"/>
      <c r="F474" s="393"/>
      <c r="G474" s="393"/>
      <c r="H474" s="393"/>
      <c r="I474" s="393"/>
      <c r="J474" s="393"/>
      <c r="K474" s="393"/>
      <c r="L474" s="393"/>
      <c r="M474" s="393"/>
      <c r="N474" s="393"/>
      <c r="O474" s="393"/>
    </row>
    <row r="475" spans="1:15" x14ac:dyDescent="0.25">
      <c r="A475" s="393"/>
      <c r="B475" s="393"/>
      <c r="C475" s="393"/>
      <c r="D475" s="393"/>
      <c r="E475" s="393"/>
      <c r="F475" s="393"/>
      <c r="G475" s="393"/>
      <c r="H475" s="393"/>
      <c r="I475" s="393"/>
      <c r="J475" s="393"/>
      <c r="K475" s="393"/>
      <c r="L475" s="393"/>
      <c r="M475" s="393"/>
      <c r="N475" s="393"/>
      <c r="O475" s="393"/>
    </row>
    <row r="476" spans="1:15" x14ac:dyDescent="0.25">
      <c r="A476" s="393"/>
      <c r="B476" s="393"/>
      <c r="C476" s="393"/>
      <c r="D476" s="393"/>
      <c r="E476" s="393"/>
      <c r="F476" s="393"/>
      <c r="G476" s="393"/>
      <c r="H476" s="393"/>
      <c r="I476" s="393"/>
      <c r="J476" s="393"/>
      <c r="K476" s="393"/>
      <c r="L476" s="393"/>
      <c r="M476" s="393"/>
      <c r="N476" s="393"/>
      <c r="O476" s="393"/>
    </row>
  </sheetData>
  <mergeCells count="25">
    <mergeCell ref="A2:L2"/>
    <mergeCell ref="A91:G91"/>
    <mergeCell ref="B27:D27"/>
    <mergeCell ref="A57:O57"/>
    <mergeCell ref="B59:C59"/>
    <mergeCell ref="E59:F59"/>
    <mergeCell ref="H59:I59"/>
    <mergeCell ref="K59:L59"/>
    <mergeCell ref="N59:O59"/>
    <mergeCell ref="A89:G89"/>
    <mergeCell ref="A180:B180"/>
    <mergeCell ref="A252:B252"/>
    <mergeCell ref="A325:B325"/>
    <mergeCell ref="A412:B412"/>
    <mergeCell ref="A452:B452"/>
    <mergeCell ref="A255:G255"/>
    <mergeCell ref="A183:G183"/>
    <mergeCell ref="A419:F419"/>
    <mergeCell ref="A420:F420"/>
    <mergeCell ref="A422:F422"/>
    <mergeCell ref="A424:F424"/>
    <mergeCell ref="A331:G331"/>
    <mergeCell ref="A185:G185"/>
    <mergeCell ref="A329:G329"/>
    <mergeCell ref="A257:G2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12" sqref="E12"/>
    </sheetView>
  </sheetViews>
  <sheetFormatPr defaultRowHeight="15" x14ac:dyDescent="0.25"/>
  <cols>
    <col min="3" max="3" width="16.7109375" customWidth="1"/>
    <col min="4" max="4" width="16.5703125" customWidth="1"/>
    <col min="5" max="5" width="17" customWidth="1"/>
    <col min="6" max="6" width="17.28515625" customWidth="1"/>
  </cols>
  <sheetData>
    <row r="2" spans="1:7" x14ac:dyDescent="0.25">
      <c r="A2" s="294"/>
      <c r="B2" s="294"/>
      <c r="C2" s="294"/>
      <c r="D2" s="296"/>
      <c r="E2" s="296"/>
      <c r="F2" s="296"/>
      <c r="G2" s="296"/>
    </row>
    <row r="3" spans="1:7" x14ac:dyDescent="0.25">
      <c r="A3" s="722" t="s">
        <v>1205</v>
      </c>
      <c r="B3" s="722"/>
      <c r="C3" s="722"/>
      <c r="D3" s="722"/>
      <c r="E3" s="722"/>
      <c r="F3" s="722"/>
      <c r="G3" s="670"/>
    </row>
    <row r="4" spans="1:7" x14ac:dyDescent="0.25">
      <c r="A4" s="294"/>
      <c r="B4" s="294"/>
      <c r="C4" s="294"/>
      <c r="D4" s="296"/>
      <c r="E4" s="296"/>
      <c r="F4" s="296"/>
      <c r="G4" s="296"/>
    </row>
    <row r="5" spans="1:7" x14ac:dyDescent="0.25">
      <c r="A5" s="721" t="s">
        <v>1066</v>
      </c>
      <c r="B5" s="721"/>
      <c r="C5" s="721"/>
      <c r="D5" s="721"/>
      <c r="E5" s="721"/>
      <c r="F5" s="721"/>
      <c r="G5" s="303"/>
    </row>
    <row r="6" spans="1:7" x14ac:dyDescent="0.25">
      <c r="A6" s="294"/>
      <c r="B6" s="294"/>
      <c r="C6" s="294"/>
      <c r="D6" s="296"/>
      <c r="E6" s="296"/>
      <c r="F6" s="296"/>
      <c r="G6" s="296"/>
    </row>
    <row r="7" spans="1:7" x14ac:dyDescent="0.25">
      <c r="A7" s="304" t="s">
        <v>460</v>
      </c>
      <c r="B7" s="304">
        <v>94021</v>
      </c>
      <c r="C7" s="304" t="s">
        <v>874</v>
      </c>
      <c r="D7" s="328"/>
      <c r="E7" s="328">
        <f>SUM(D8)</f>
        <v>50000</v>
      </c>
      <c r="F7" s="324"/>
      <c r="G7" s="296"/>
    </row>
    <row r="8" spans="1:7" x14ac:dyDescent="0.25">
      <c r="A8" s="294"/>
      <c r="B8" s="294"/>
      <c r="C8" s="294" t="s">
        <v>1067</v>
      </c>
      <c r="D8" s="324">
        <v>50000</v>
      </c>
      <c r="E8" s="324"/>
      <c r="F8" s="324"/>
      <c r="G8" s="296"/>
    </row>
    <row r="9" spans="1:7" x14ac:dyDescent="0.25">
      <c r="A9" s="294"/>
      <c r="B9" s="294"/>
      <c r="C9" s="294"/>
      <c r="D9" s="296"/>
      <c r="E9" s="324"/>
      <c r="F9" s="324"/>
      <c r="G9" s="296"/>
    </row>
    <row r="10" spans="1:7" x14ac:dyDescent="0.25">
      <c r="A10" s="306" t="s">
        <v>1068</v>
      </c>
      <c r="B10" s="306"/>
      <c r="C10" s="306"/>
      <c r="D10" s="307"/>
      <c r="E10" s="329"/>
      <c r="F10" s="329">
        <f>SUM(E7:E7)</f>
        <v>50000</v>
      </c>
      <c r="G10" s="296"/>
    </row>
    <row r="11" spans="1:7" x14ac:dyDescent="0.25">
      <c r="A11" s="304" t="s">
        <v>540</v>
      </c>
      <c r="B11" s="304">
        <v>981311</v>
      </c>
      <c r="C11" s="304" t="s">
        <v>1069</v>
      </c>
      <c r="D11" s="305"/>
      <c r="E11" s="325">
        <v>5239180</v>
      </c>
      <c r="F11" s="324"/>
      <c r="G11" s="296"/>
    </row>
    <row r="12" spans="1:7" x14ac:dyDescent="0.25">
      <c r="A12" s="304" t="s">
        <v>551</v>
      </c>
      <c r="B12" s="304">
        <v>98161</v>
      </c>
      <c r="C12" s="304" t="s">
        <v>1070</v>
      </c>
      <c r="D12" s="305"/>
      <c r="E12" s="328">
        <f>SUM(D13:D17)</f>
        <v>79475225.599999994</v>
      </c>
      <c r="F12" s="324"/>
      <c r="G12" s="295"/>
    </row>
    <row r="13" spans="1:7" x14ac:dyDescent="0.25">
      <c r="A13" s="304"/>
      <c r="B13" s="304"/>
      <c r="C13" s="304" t="s">
        <v>1345</v>
      </c>
      <c r="D13" s="328">
        <f>SUM('KÖH kiadás'!F54)</f>
        <v>63343280</v>
      </c>
      <c r="E13" s="328"/>
      <c r="F13" s="324"/>
      <c r="G13" s="295"/>
    </row>
    <row r="14" spans="1:7" x14ac:dyDescent="0.25">
      <c r="A14" s="304"/>
      <c r="B14" s="304"/>
      <c r="C14" s="304" t="s">
        <v>911</v>
      </c>
      <c r="D14" s="328">
        <f>SUM('KÖH kiadás'!C85-'KÖH kiadás'!O83)</f>
        <v>-121356.55557934172</v>
      </c>
      <c r="E14" s="328"/>
      <c r="F14" s="324"/>
      <c r="G14" s="295"/>
    </row>
    <row r="15" spans="1:7" x14ac:dyDescent="0.25">
      <c r="A15" s="304"/>
      <c r="B15" s="304"/>
      <c r="C15" s="304" t="s">
        <v>1421</v>
      </c>
      <c r="D15" s="328">
        <f>SUM('KÖH kiadás'!F85)</f>
        <v>2758361.4423334221</v>
      </c>
      <c r="E15" s="328"/>
      <c r="F15" s="324"/>
      <c r="G15" s="295"/>
    </row>
    <row r="16" spans="1:7" x14ac:dyDescent="0.25">
      <c r="A16" s="304"/>
      <c r="B16" s="304"/>
      <c r="C16" s="304" t="s">
        <v>1422</v>
      </c>
      <c r="D16" s="328">
        <f>SUM('KÖH kiadás'!I85)</f>
        <v>1418001.9045223454</v>
      </c>
      <c r="E16" s="328"/>
      <c r="F16" s="324"/>
      <c r="G16" s="295"/>
    </row>
    <row r="17" spans="1:7" x14ac:dyDescent="0.25">
      <c r="A17" s="304"/>
      <c r="B17" s="304"/>
      <c r="C17" s="304" t="s">
        <v>1423</v>
      </c>
      <c r="D17" s="328">
        <f>SUM('KÖH kiadás'!L85)</f>
        <v>12076938.808723575</v>
      </c>
      <c r="E17" s="328"/>
      <c r="F17" s="324"/>
      <c r="G17" s="295"/>
    </row>
    <row r="18" spans="1:7" x14ac:dyDescent="0.25">
      <c r="A18" s="306" t="s">
        <v>1071</v>
      </c>
      <c r="B18" s="306"/>
      <c r="C18" s="306"/>
      <c r="D18" s="307"/>
      <c r="E18" s="329"/>
      <c r="F18" s="329">
        <f>SUM(E11:E12)</f>
        <v>84714405.599999994</v>
      </c>
      <c r="G18" s="296"/>
    </row>
    <row r="19" spans="1:7" ht="15.75" thickBot="1" x14ac:dyDescent="0.3">
      <c r="A19" s="294"/>
      <c r="B19" s="294"/>
      <c r="C19" s="294"/>
      <c r="D19" s="296"/>
      <c r="E19" s="324"/>
      <c r="F19" s="324"/>
      <c r="G19" s="296"/>
    </row>
    <row r="20" spans="1:7" ht="15.75" thickBot="1" x14ac:dyDescent="0.3">
      <c r="A20" s="308" t="s">
        <v>1072</v>
      </c>
      <c r="B20" s="308"/>
      <c r="C20" s="308"/>
      <c r="D20" s="302"/>
      <c r="E20" s="326"/>
      <c r="F20" s="340">
        <f>SUM(F10:F18)</f>
        <v>84764405.599999994</v>
      </c>
      <c r="G20" s="309"/>
    </row>
    <row r="21" spans="1:7" x14ac:dyDescent="0.25">
      <c r="A21" s="294"/>
      <c r="B21" s="294"/>
      <c r="C21" s="294"/>
      <c r="D21" s="296"/>
      <c r="E21" s="296"/>
      <c r="F21" s="296"/>
      <c r="G21" s="296"/>
    </row>
  </sheetData>
  <mergeCells count="2">
    <mergeCell ref="A5:F5"/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topLeftCell="A781" workbookViewId="0">
      <selection activeCell="E79" sqref="E79"/>
    </sheetView>
  </sheetViews>
  <sheetFormatPr defaultRowHeight="15" x14ac:dyDescent="0.25"/>
  <cols>
    <col min="1" max="1" width="5.5703125" customWidth="1"/>
    <col min="2" max="2" width="19.42578125" customWidth="1"/>
    <col min="3" max="3" width="14.42578125" customWidth="1"/>
    <col min="4" max="4" width="14.28515625" customWidth="1"/>
    <col min="5" max="5" width="13.7109375" customWidth="1"/>
    <col min="6" max="6" width="13.85546875" customWidth="1"/>
  </cols>
  <sheetData>
    <row r="1" spans="1:8" x14ac:dyDescent="0.25">
      <c r="A1" s="378"/>
      <c r="B1" s="378"/>
      <c r="C1" s="378"/>
      <c r="D1" s="378"/>
      <c r="E1" s="378"/>
      <c r="F1" s="378"/>
      <c r="G1" s="378"/>
      <c r="H1" s="378"/>
    </row>
    <row r="2" spans="1:8" x14ac:dyDescent="0.25">
      <c r="A2" s="737" t="s">
        <v>908</v>
      </c>
      <c r="B2" s="738"/>
      <c r="C2" s="738"/>
      <c r="D2" s="738"/>
      <c r="E2" s="738"/>
      <c r="F2" s="738"/>
      <c r="G2" s="378"/>
      <c r="H2" s="378"/>
    </row>
    <row r="3" spans="1:8" ht="15.75" thickBot="1" x14ac:dyDescent="0.3">
      <c r="A3" s="378"/>
      <c r="B3" s="378"/>
      <c r="C3" s="520"/>
      <c r="D3" s="521"/>
      <c r="E3" s="521"/>
      <c r="F3" s="521"/>
      <c r="G3" s="378"/>
      <c r="H3" s="378"/>
    </row>
    <row r="4" spans="1:8" ht="15.75" thickBot="1" x14ac:dyDescent="0.3">
      <c r="A4" s="739" t="s">
        <v>923</v>
      </c>
      <c r="B4" s="740"/>
      <c r="C4" s="740"/>
      <c r="D4" s="740"/>
      <c r="E4" s="740"/>
      <c r="F4" s="741"/>
      <c r="G4" s="378"/>
      <c r="H4" s="378"/>
    </row>
    <row r="5" spans="1:8" x14ac:dyDescent="0.25">
      <c r="A5" s="522"/>
      <c r="B5" s="522"/>
      <c r="C5" s="523"/>
      <c r="D5" s="523"/>
      <c r="E5" s="523"/>
      <c r="F5" s="523"/>
      <c r="G5" s="378"/>
      <c r="H5" s="378"/>
    </row>
    <row r="6" spans="1:8" x14ac:dyDescent="0.25">
      <c r="A6" s="524" t="s">
        <v>219</v>
      </c>
      <c r="B6" s="524" t="s">
        <v>924</v>
      </c>
      <c r="C6" s="525"/>
      <c r="D6" s="525"/>
      <c r="E6" s="526">
        <f>SUM(D7:D21)</f>
        <v>11568712</v>
      </c>
      <c r="F6" s="523"/>
      <c r="G6" s="378"/>
      <c r="H6" s="378"/>
    </row>
    <row r="7" spans="1:8" x14ac:dyDescent="0.25">
      <c r="A7" s="524"/>
      <c r="B7" s="527" t="s">
        <v>925</v>
      </c>
      <c r="C7" s="528">
        <v>398900</v>
      </c>
      <c r="D7" s="528">
        <f>SUM(C7*1)</f>
        <v>398900</v>
      </c>
      <c r="E7" s="526"/>
      <c r="F7" s="523"/>
      <c r="G7" s="378"/>
      <c r="H7" s="378"/>
    </row>
    <row r="8" spans="1:8" x14ac:dyDescent="0.25">
      <c r="A8" s="524"/>
      <c r="B8" s="527"/>
      <c r="C8" s="528">
        <v>650000</v>
      </c>
      <c r="D8" s="528">
        <f>SUM(C8*11)</f>
        <v>7150000</v>
      </c>
      <c r="E8" s="526"/>
      <c r="F8" s="523"/>
      <c r="G8" s="378"/>
      <c r="H8" s="378"/>
    </row>
    <row r="9" spans="1:8" x14ac:dyDescent="0.25">
      <c r="A9" s="524"/>
      <c r="B9" s="527" t="s">
        <v>926</v>
      </c>
      <c r="C9" s="528"/>
      <c r="D9" s="528">
        <v>200000</v>
      </c>
      <c r="E9" s="526"/>
      <c r="F9" s="523"/>
      <c r="G9" s="378"/>
      <c r="H9" s="378"/>
    </row>
    <row r="10" spans="1:8" x14ac:dyDescent="0.25">
      <c r="A10" s="524"/>
      <c r="B10" s="527" t="s">
        <v>927</v>
      </c>
      <c r="C10" s="528"/>
      <c r="D10" s="528">
        <v>50000</v>
      </c>
      <c r="E10" s="526"/>
      <c r="F10" s="523"/>
      <c r="G10" s="378"/>
      <c r="H10" s="378"/>
    </row>
    <row r="11" spans="1:8" x14ac:dyDescent="0.25">
      <c r="A11" s="524"/>
      <c r="B11" s="527" t="s">
        <v>1325</v>
      </c>
      <c r="C11" s="528"/>
      <c r="D11" s="528">
        <v>1196700</v>
      </c>
      <c r="E11" s="526"/>
      <c r="F11" s="523"/>
      <c r="G11" s="378"/>
      <c r="H11" s="378"/>
    </row>
    <row r="12" spans="1:8" x14ac:dyDescent="0.25">
      <c r="A12" s="527"/>
      <c r="B12" s="524" t="s">
        <v>928</v>
      </c>
      <c r="C12" s="528"/>
      <c r="D12" s="528">
        <f>SUM(C13:C18)</f>
        <v>1080000</v>
      </c>
      <c r="E12" s="528"/>
      <c r="F12" s="523"/>
      <c r="G12" s="378"/>
      <c r="H12" s="378"/>
    </row>
    <row r="13" spans="1:8" x14ac:dyDescent="0.25">
      <c r="A13" s="527"/>
      <c r="B13" s="527" t="s">
        <v>929</v>
      </c>
      <c r="C13" s="528">
        <v>180000</v>
      </c>
      <c r="D13" s="528"/>
      <c r="E13" s="528"/>
      <c r="F13" s="523"/>
      <c r="G13" s="378"/>
      <c r="H13" s="378"/>
    </row>
    <row r="14" spans="1:8" x14ac:dyDescent="0.25">
      <c r="A14" s="527"/>
      <c r="B14" s="527" t="s">
        <v>930</v>
      </c>
      <c r="C14" s="528">
        <v>180000</v>
      </c>
      <c r="D14" s="528"/>
      <c r="E14" s="528"/>
      <c r="F14" s="523"/>
      <c r="G14" s="378"/>
      <c r="H14" s="378"/>
    </row>
    <row r="15" spans="1:8" x14ac:dyDescent="0.25">
      <c r="A15" s="527"/>
      <c r="B15" s="527" t="s">
        <v>931</v>
      </c>
      <c r="C15" s="528">
        <v>180000</v>
      </c>
      <c r="D15" s="528"/>
      <c r="E15" s="528"/>
      <c r="F15" s="523"/>
      <c r="G15" s="378"/>
      <c r="H15" s="378"/>
    </row>
    <row r="16" spans="1:8" x14ac:dyDescent="0.25">
      <c r="A16" s="527"/>
      <c r="B16" s="527" t="s">
        <v>932</v>
      </c>
      <c r="C16" s="528">
        <v>180000</v>
      </c>
      <c r="D16" s="528"/>
      <c r="E16" s="528"/>
      <c r="F16" s="523"/>
      <c r="G16" s="378"/>
      <c r="H16" s="378"/>
    </row>
    <row r="17" spans="1:8" x14ac:dyDescent="0.25">
      <c r="A17" s="527"/>
      <c r="B17" s="527" t="s">
        <v>933</v>
      </c>
      <c r="C17" s="528">
        <v>180000</v>
      </c>
      <c r="D17" s="528"/>
      <c r="E17" s="528"/>
      <c r="F17" s="523"/>
      <c r="G17" s="378"/>
      <c r="H17" s="378"/>
    </row>
    <row r="18" spans="1:8" x14ac:dyDescent="0.25">
      <c r="A18" s="527"/>
      <c r="B18" s="527" t="s">
        <v>934</v>
      </c>
      <c r="C18" s="528">
        <v>180000</v>
      </c>
      <c r="D18" s="528"/>
      <c r="E18" s="528"/>
      <c r="F18" s="523"/>
      <c r="G18" s="378"/>
      <c r="H18" s="378"/>
    </row>
    <row r="19" spans="1:8" x14ac:dyDescent="0.25">
      <c r="A19" s="527"/>
      <c r="B19" s="524" t="s">
        <v>38</v>
      </c>
      <c r="C19" s="528"/>
      <c r="D19" s="528"/>
      <c r="E19" s="528"/>
      <c r="F19" s="523"/>
      <c r="G19" s="378"/>
      <c r="H19" s="378"/>
    </row>
    <row r="20" spans="1:8" x14ac:dyDescent="0.25">
      <c r="A20" s="527"/>
      <c r="B20" s="527" t="s">
        <v>37</v>
      </c>
      <c r="C20" s="528">
        <v>97500</v>
      </c>
      <c r="D20" s="528">
        <f>SUM(C20*12)</f>
        <v>1170000</v>
      </c>
      <c r="E20" s="528"/>
      <c r="F20" s="523"/>
      <c r="G20" s="378"/>
      <c r="H20" s="378"/>
    </row>
    <row r="21" spans="1:8" x14ac:dyDescent="0.25">
      <c r="A21" s="527"/>
      <c r="B21" s="527" t="s">
        <v>929</v>
      </c>
      <c r="C21" s="528">
        <v>26926</v>
      </c>
      <c r="D21" s="528">
        <f>SUM(C21*12)</f>
        <v>323112</v>
      </c>
      <c r="E21" s="528"/>
      <c r="F21" s="523"/>
      <c r="G21" s="378"/>
      <c r="H21" s="378"/>
    </row>
    <row r="22" spans="1:8" x14ac:dyDescent="0.25">
      <c r="A22" s="524" t="s">
        <v>222</v>
      </c>
      <c r="B22" s="524" t="s">
        <v>181</v>
      </c>
      <c r="C22" s="525"/>
      <c r="D22" s="526"/>
      <c r="E22" s="526">
        <f>SUM(D23)</f>
        <v>50000</v>
      </c>
      <c r="F22" s="529"/>
      <c r="G22" s="378"/>
      <c r="H22" s="378"/>
    </row>
    <row r="23" spans="1:8" x14ac:dyDescent="0.25">
      <c r="A23" s="527"/>
      <c r="B23" s="527" t="s">
        <v>153</v>
      </c>
      <c r="C23" s="529"/>
      <c r="D23" s="528">
        <v>50000</v>
      </c>
      <c r="E23" s="529"/>
      <c r="F23" s="529"/>
      <c r="G23" s="378"/>
      <c r="H23" s="378"/>
    </row>
    <row r="24" spans="1:8" x14ac:dyDescent="0.25">
      <c r="A24" s="530" t="s">
        <v>879</v>
      </c>
      <c r="B24" s="535"/>
      <c r="C24" s="538"/>
      <c r="D24" s="538"/>
      <c r="E24" s="538"/>
      <c r="F24" s="532">
        <f>SUM(E6:E22)</f>
        <v>11618712</v>
      </c>
      <c r="G24" s="378"/>
      <c r="H24" s="378"/>
    </row>
    <row r="25" spans="1:8" x14ac:dyDescent="0.25">
      <c r="A25" s="524" t="s">
        <v>228</v>
      </c>
      <c r="B25" s="524" t="s">
        <v>880</v>
      </c>
      <c r="C25" s="525"/>
      <c r="D25" s="525"/>
      <c r="E25" s="526">
        <f>SUM(D26:D35)</f>
        <v>1387218</v>
      </c>
      <c r="F25" s="529"/>
      <c r="G25" s="378"/>
      <c r="H25" s="378"/>
    </row>
    <row r="26" spans="1:8" x14ac:dyDescent="0.25">
      <c r="A26" s="524"/>
      <c r="B26" s="524" t="s">
        <v>881</v>
      </c>
      <c r="C26" s="525"/>
      <c r="D26" s="526">
        <f>SUM(C27:C32)</f>
        <v>1349718</v>
      </c>
      <c r="E26" s="525"/>
      <c r="F26" s="529"/>
      <c r="G26" s="378"/>
      <c r="H26" s="378"/>
    </row>
    <row r="27" spans="1:8" x14ac:dyDescent="0.25">
      <c r="A27" s="527"/>
      <c r="B27" s="527" t="s">
        <v>1351</v>
      </c>
      <c r="C27" s="528">
        <f>SUM(D7*0.155)</f>
        <v>61829.5</v>
      </c>
      <c r="D27" s="528"/>
      <c r="E27" s="529"/>
      <c r="F27" s="529"/>
      <c r="G27" s="378"/>
      <c r="H27" s="378"/>
    </row>
    <row r="28" spans="1:8" x14ac:dyDescent="0.25">
      <c r="A28" s="527"/>
      <c r="B28" s="527" t="s">
        <v>935</v>
      </c>
      <c r="C28" s="528">
        <f>SUM(D8*0.13)</f>
        <v>929500</v>
      </c>
      <c r="D28" s="528"/>
      <c r="E28" s="529"/>
      <c r="F28" s="529"/>
      <c r="G28" s="378"/>
      <c r="H28" s="378"/>
    </row>
    <row r="29" spans="1:8" x14ac:dyDescent="0.25">
      <c r="A29" s="527"/>
      <c r="B29" s="527" t="s">
        <v>1326</v>
      </c>
      <c r="C29" s="528">
        <f>SUM(D11*0.155)</f>
        <v>185488.5</v>
      </c>
      <c r="D29" s="528"/>
      <c r="E29" s="529"/>
      <c r="F29" s="529"/>
      <c r="G29" s="378"/>
      <c r="H29" s="378"/>
    </row>
    <row r="30" spans="1:8" x14ac:dyDescent="0.25">
      <c r="A30" s="527"/>
      <c r="B30" s="527" t="s">
        <v>936</v>
      </c>
      <c r="C30" s="528">
        <f>SUM(D12*0.13)</f>
        <v>140400</v>
      </c>
      <c r="D30" s="528"/>
      <c r="E30" s="529"/>
      <c r="F30" s="529"/>
      <c r="G30" s="378"/>
      <c r="H30" s="378"/>
    </row>
    <row r="31" spans="1:8" x14ac:dyDescent="0.25">
      <c r="A31" s="527"/>
      <c r="B31" s="527" t="s">
        <v>882</v>
      </c>
      <c r="C31" s="528">
        <f>SUM(D9*0.13)</f>
        <v>26000</v>
      </c>
      <c r="D31" s="528">
        <v>0</v>
      </c>
      <c r="E31" s="529"/>
      <c r="F31" s="529"/>
      <c r="G31" s="378"/>
      <c r="H31" s="378"/>
    </row>
    <row r="32" spans="1:8" x14ac:dyDescent="0.25">
      <c r="A32" s="527"/>
      <c r="B32" s="527" t="s">
        <v>937</v>
      </c>
      <c r="C32" s="528">
        <f>SUM(D23*0.13)</f>
        <v>6500</v>
      </c>
      <c r="D32" s="528"/>
      <c r="E32" s="529"/>
      <c r="F32" s="529"/>
      <c r="G32" s="378"/>
      <c r="H32" s="378"/>
    </row>
    <row r="33" spans="1:8" x14ac:dyDescent="0.25">
      <c r="A33" s="527"/>
      <c r="B33" s="524" t="s">
        <v>883</v>
      </c>
      <c r="C33" s="528"/>
      <c r="D33" s="526">
        <f>SUM(C34:C35)</f>
        <v>37500</v>
      </c>
      <c r="E33" s="529"/>
      <c r="F33" s="529"/>
      <c r="G33" s="378"/>
      <c r="H33" s="378"/>
    </row>
    <row r="34" spans="1:8" x14ac:dyDescent="0.25">
      <c r="A34" s="527"/>
      <c r="B34" s="527" t="s">
        <v>884</v>
      </c>
      <c r="C34" s="528">
        <f>SUM(D9*0.15)</f>
        <v>30000</v>
      </c>
      <c r="D34" s="529"/>
      <c r="E34" s="529"/>
      <c r="F34" s="529"/>
      <c r="G34" s="378"/>
      <c r="H34" s="378"/>
    </row>
    <row r="35" spans="1:8" x14ac:dyDescent="0.25">
      <c r="A35" s="527"/>
      <c r="B35" s="527" t="s">
        <v>938</v>
      </c>
      <c r="C35" s="528">
        <f>SUM(D23*0.15)</f>
        <v>7500</v>
      </c>
      <c r="D35" s="529"/>
      <c r="E35" s="529"/>
      <c r="F35" s="529"/>
      <c r="G35" s="378"/>
      <c r="H35" s="378"/>
    </row>
    <row r="36" spans="1:8" x14ac:dyDescent="0.25">
      <c r="A36" s="530" t="s">
        <v>885</v>
      </c>
      <c r="B36" s="535"/>
      <c r="C36" s="538"/>
      <c r="D36" s="538"/>
      <c r="E36" s="538"/>
      <c r="F36" s="533">
        <f>SUM(E25:E35)</f>
        <v>1387218</v>
      </c>
      <c r="G36" s="378"/>
      <c r="H36" s="378"/>
    </row>
    <row r="37" spans="1:8" x14ac:dyDescent="0.25">
      <c r="A37" s="524" t="s">
        <v>230</v>
      </c>
      <c r="B37" s="524" t="s">
        <v>891</v>
      </c>
      <c r="C37" s="525"/>
      <c r="D37" s="525"/>
      <c r="E37" s="526">
        <f>SUM(D38:D40)</f>
        <v>400000</v>
      </c>
      <c r="F37" s="523"/>
      <c r="G37" s="378"/>
      <c r="H37" s="378"/>
    </row>
    <row r="38" spans="1:8" x14ac:dyDescent="0.25">
      <c r="A38" s="527"/>
      <c r="B38" s="527" t="s">
        <v>892</v>
      </c>
      <c r="C38" s="529"/>
      <c r="D38" s="528">
        <v>100000</v>
      </c>
      <c r="E38" s="528"/>
      <c r="F38" s="523"/>
      <c r="G38" s="378"/>
      <c r="H38" s="378"/>
    </row>
    <row r="39" spans="1:8" x14ac:dyDescent="0.25">
      <c r="A39" s="527"/>
      <c r="B39" s="527" t="s">
        <v>893</v>
      </c>
      <c r="C39" s="529"/>
      <c r="D39" s="528">
        <v>100000</v>
      </c>
      <c r="E39" s="528"/>
      <c r="F39" s="523"/>
      <c r="G39" s="378"/>
      <c r="H39" s="378"/>
    </row>
    <row r="40" spans="1:8" x14ac:dyDescent="0.25">
      <c r="A40" s="527"/>
      <c r="B40" s="527" t="s">
        <v>909</v>
      </c>
      <c r="C40" s="529"/>
      <c r="D40" s="528">
        <v>200000</v>
      </c>
      <c r="E40" s="528"/>
      <c r="F40" s="523"/>
      <c r="G40" s="378"/>
      <c r="H40" s="378"/>
    </row>
    <row r="41" spans="1:8" x14ac:dyDescent="0.25">
      <c r="A41" s="524" t="s">
        <v>235</v>
      </c>
      <c r="B41" s="524" t="s">
        <v>894</v>
      </c>
      <c r="C41" s="525"/>
      <c r="D41" s="526"/>
      <c r="E41" s="526">
        <f>SUM(D42:D47)</f>
        <v>547800</v>
      </c>
      <c r="F41" s="523"/>
      <c r="G41" s="378"/>
      <c r="H41" s="378"/>
    </row>
    <row r="42" spans="1:8" x14ac:dyDescent="0.25">
      <c r="A42" s="527"/>
      <c r="B42" s="527" t="s">
        <v>895</v>
      </c>
      <c r="C42" s="528">
        <v>5000</v>
      </c>
      <c r="D42" s="528">
        <f>SUM(C42*12)</f>
        <v>60000</v>
      </c>
      <c r="E42" s="528"/>
      <c r="F42" s="523"/>
      <c r="G42" s="378"/>
      <c r="H42" s="378"/>
    </row>
    <row r="43" spans="1:8" x14ac:dyDescent="0.25">
      <c r="A43" s="527"/>
      <c r="B43" s="527" t="s">
        <v>939</v>
      </c>
      <c r="C43" s="528"/>
      <c r="D43" s="528">
        <v>2000</v>
      </c>
      <c r="E43" s="528"/>
      <c r="F43" s="523"/>
      <c r="G43" s="378"/>
      <c r="H43" s="378"/>
    </row>
    <row r="44" spans="1:8" x14ac:dyDescent="0.25">
      <c r="A44" s="527"/>
      <c r="B44" s="527" t="s">
        <v>1327</v>
      </c>
      <c r="C44" s="528"/>
      <c r="D44" s="528">
        <v>160000</v>
      </c>
      <c r="E44" s="528"/>
      <c r="F44" s="523"/>
      <c r="G44" s="378"/>
      <c r="H44" s="378"/>
    </row>
    <row r="45" spans="1:8" x14ac:dyDescent="0.25">
      <c r="A45" s="527"/>
      <c r="B45" s="527" t="s">
        <v>1328</v>
      </c>
      <c r="C45" s="528"/>
      <c r="D45" s="528">
        <v>27000</v>
      </c>
      <c r="E45" s="528"/>
      <c r="F45" s="523"/>
      <c r="G45" s="378"/>
      <c r="H45" s="378"/>
    </row>
    <row r="46" spans="1:8" x14ac:dyDescent="0.25">
      <c r="A46" s="527"/>
      <c r="B46" s="527" t="s">
        <v>1329</v>
      </c>
      <c r="C46" s="528">
        <v>4900</v>
      </c>
      <c r="D46" s="528">
        <f>SUM(C46*12)</f>
        <v>58800</v>
      </c>
      <c r="E46" s="528"/>
      <c r="F46" s="523"/>
      <c r="G46" s="378"/>
      <c r="H46" s="378"/>
    </row>
    <row r="47" spans="1:8" x14ac:dyDescent="0.25">
      <c r="A47" s="527"/>
      <c r="B47" s="527" t="s">
        <v>940</v>
      </c>
      <c r="C47" s="528">
        <v>60000</v>
      </c>
      <c r="D47" s="528">
        <f>SUM(C47*4)</f>
        <v>240000</v>
      </c>
      <c r="E47" s="528"/>
      <c r="F47" s="523"/>
      <c r="G47" s="378"/>
      <c r="H47" s="378"/>
    </row>
    <row r="48" spans="1:8" x14ac:dyDescent="0.25">
      <c r="A48" s="524" t="s">
        <v>237</v>
      </c>
      <c r="B48" s="524" t="s">
        <v>897</v>
      </c>
      <c r="C48" s="526"/>
      <c r="D48" s="526"/>
      <c r="E48" s="526">
        <f>SUM(D49)</f>
        <v>300000</v>
      </c>
      <c r="F48" s="523"/>
      <c r="G48" s="378"/>
      <c r="H48" s="378"/>
    </row>
    <row r="49" spans="1:8" x14ac:dyDescent="0.25">
      <c r="A49" s="524"/>
      <c r="B49" s="527" t="s">
        <v>947</v>
      </c>
      <c r="C49" s="528">
        <v>25000</v>
      </c>
      <c r="D49" s="528">
        <f>SUM(C49*12)</f>
        <v>300000</v>
      </c>
      <c r="E49" s="526"/>
      <c r="F49" s="523"/>
      <c r="G49" s="378"/>
      <c r="H49" s="378"/>
    </row>
    <row r="50" spans="1:8" x14ac:dyDescent="0.25">
      <c r="A50" s="524" t="s">
        <v>240</v>
      </c>
      <c r="B50" s="524" t="s">
        <v>158</v>
      </c>
      <c r="C50" s="526"/>
      <c r="D50" s="526"/>
      <c r="E50" s="526">
        <f>SUM(D51:D53)</f>
        <v>2040000</v>
      </c>
      <c r="F50" s="523"/>
      <c r="G50" s="378"/>
      <c r="H50" s="378"/>
    </row>
    <row r="51" spans="1:8" x14ac:dyDescent="0.25">
      <c r="A51" s="527"/>
      <c r="B51" s="527" t="s">
        <v>898</v>
      </c>
      <c r="C51" s="528">
        <v>100000</v>
      </c>
      <c r="D51" s="528">
        <f>SUM(C51*12)</f>
        <v>1200000</v>
      </c>
      <c r="E51" s="528"/>
      <c r="F51" s="523"/>
      <c r="G51" s="378"/>
      <c r="H51" s="378"/>
    </row>
    <row r="52" spans="1:8" x14ac:dyDescent="0.25">
      <c r="A52" s="527"/>
      <c r="B52" s="527" t="s">
        <v>899</v>
      </c>
      <c r="C52" s="528">
        <v>10000</v>
      </c>
      <c r="D52" s="528">
        <f>SUM(C52*12)</f>
        <v>120000</v>
      </c>
      <c r="E52" s="528"/>
      <c r="F52" s="523"/>
      <c r="G52" s="378"/>
      <c r="H52" s="378"/>
    </row>
    <row r="53" spans="1:8" x14ac:dyDescent="0.25">
      <c r="A53" s="527"/>
      <c r="B53" s="527" t="s">
        <v>900</v>
      </c>
      <c r="C53" s="528">
        <v>60000</v>
      </c>
      <c r="D53" s="528">
        <f>SUM(C53*12)</f>
        <v>720000</v>
      </c>
      <c r="E53" s="528"/>
      <c r="F53" s="523"/>
      <c r="G53" s="378"/>
      <c r="H53" s="378"/>
    </row>
    <row r="54" spans="1:8" x14ac:dyDescent="0.25">
      <c r="A54" s="524" t="s">
        <v>243</v>
      </c>
      <c r="B54" s="524" t="s">
        <v>902</v>
      </c>
      <c r="C54" s="526"/>
      <c r="D54" s="526"/>
      <c r="E54" s="526">
        <f>SUM(D55:D57)</f>
        <v>260000</v>
      </c>
      <c r="F54" s="523"/>
      <c r="G54" s="378"/>
      <c r="H54" s="378"/>
    </row>
    <row r="55" spans="1:8" x14ac:dyDescent="0.25">
      <c r="A55" s="527"/>
      <c r="B55" s="527" t="s">
        <v>941</v>
      </c>
      <c r="C55" s="528"/>
      <c r="D55" s="528">
        <v>35000</v>
      </c>
      <c r="E55" s="528"/>
      <c r="F55" s="523"/>
      <c r="G55" s="378"/>
      <c r="H55" s="378"/>
    </row>
    <row r="56" spans="1:8" x14ac:dyDescent="0.25">
      <c r="A56" s="527"/>
      <c r="B56" s="527" t="s">
        <v>1330</v>
      </c>
      <c r="C56" s="528"/>
      <c r="D56" s="528">
        <v>223000</v>
      </c>
      <c r="E56" s="528"/>
      <c r="F56" s="523"/>
      <c r="G56" s="378"/>
      <c r="H56" s="378"/>
    </row>
    <row r="57" spans="1:8" x14ac:dyDescent="0.25">
      <c r="A57" s="527"/>
      <c r="B57" s="527" t="s">
        <v>903</v>
      </c>
      <c r="C57" s="528"/>
      <c r="D57" s="528">
        <v>2000</v>
      </c>
      <c r="E57" s="528"/>
      <c r="F57" s="523"/>
      <c r="G57" s="378"/>
      <c r="H57" s="378"/>
    </row>
    <row r="58" spans="1:8" x14ac:dyDescent="0.25">
      <c r="A58" s="524" t="s">
        <v>244</v>
      </c>
      <c r="B58" s="524" t="s">
        <v>919</v>
      </c>
      <c r="C58" s="526"/>
      <c r="D58" s="526"/>
      <c r="E58" s="526">
        <f>SUM(D59:D60)</f>
        <v>2200000</v>
      </c>
      <c r="F58" s="523"/>
      <c r="G58" s="378"/>
      <c r="H58" s="378"/>
    </row>
    <row r="59" spans="1:8" x14ac:dyDescent="0.25">
      <c r="A59" s="524"/>
      <c r="B59" s="527" t="s">
        <v>942</v>
      </c>
      <c r="C59" s="526"/>
      <c r="D59" s="528">
        <v>600000</v>
      </c>
      <c r="E59" s="526"/>
      <c r="F59" s="523"/>
      <c r="G59" s="378"/>
      <c r="H59" s="378"/>
    </row>
    <row r="60" spans="1:8" x14ac:dyDescent="0.25">
      <c r="A60" s="527"/>
      <c r="B60" s="527" t="s">
        <v>943</v>
      </c>
      <c r="C60" s="528"/>
      <c r="D60" s="528">
        <v>1600000</v>
      </c>
      <c r="E60" s="528"/>
      <c r="F60" s="523"/>
      <c r="G60" s="378"/>
      <c r="H60" s="378"/>
    </row>
    <row r="61" spans="1:8" x14ac:dyDescent="0.25">
      <c r="A61" s="524" t="s">
        <v>246</v>
      </c>
      <c r="B61" s="524" t="s">
        <v>887</v>
      </c>
      <c r="C61" s="526"/>
      <c r="D61" s="526"/>
      <c r="E61" s="526">
        <f>SUM(D62:D64)</f>
        <v>2760000</v>
      </c>
      <c r="F61" s="534"/>
      <c r="G61" s="378"/>
      <c r="H61" s="378"/>
    </row>
    <row r="62" spans="1:8" x14ac:dyDescent="0.25">
      <c r="A62" s="527"/>
      <c r="B62" s="527" t="s">
        <v>944</v>
      </c>
      <c r="C62" s="528">
        <v>40000</v>
      </c>
      <c r="D62" s="528">
        <f>SUM(C62*4)</f>
        <v>160000</v>
      </c>
      <c r="E62" s="528"/>
      <c r="F62" s="523"/>
      <c r="G62" s="378"/>
      <c r="H62" s="378"/>
    </row>
    <row r="63" spans="1:8" x14ac:dyDescent="0.25">
      <c r="A63" s="527"/>
      <c r="B63" s="527" t="s">
        <v>909</v>
      </c>
      <c r="C63" s="528"/>
      <c r="D63" s="528">
        <v>200000</v>
      </c>
      <c r="E63" s="528"/>
      <c r="F63" s="523"/>
      <c r="G63" s="378"/>
      <c r="H63" s="378"/>
    </row>
    <row r="64" spans="1:8" x14ac:dyDescent="0.25">
      <c r="A64" s="527"/>
      <c r="B64" s="527" t="s">
        <v>945</v>
      </c>
      <c r="C64" s="528">
        <v>200000</v>
      </c>
      <c r="D64" s="528">
        <f>SUM(C64*12)</f>
        <v>2400000</v>
      </c>
      <c r="E64" s="528"/>
      <c r="F64" s="523"/>
      <c r="G64" s="378"/>
      <c r="H64" s="378"/>
    </row>
    <row r="65" spans="1:8" x14ac:dyDescent="0.25">
      <c r="A65" s="524" t="s">
        <v>247</v>
      </c>
      <c r="B65" s="524" t="s">
        <v>146</v>
      </c>
      <c r="C65" s="526"/>
      <c r="D65" s="526"/>
      <c r="E65" s="526">
        <f>SUM(D66:D76)</f>
        <v>4255000</v>
      </c>
      <c r="F65" s="523"/>
      <c r="G65" s="378"/>
      <c r="H65" s="378"/>
    </row>
    <row r="66" spans="1:8" x14ac:dyDescent="0.25">
      <c r="A66" s="524"/>
      <c r="B66" s="527" t="s">
        <v>946</v>
      </c>
      <c r="C66" s="528">
        <v>4000</v>
      </c>
      <c r="D66" s="528">
        <f>SUM(C66*12)</f>
        <v>48000</v>
      </c>
      <c r="E66" s="526"/>
      <c r="F66" s="523"/>
      <c r="G66" s="378"/>
      <c r="H66" s="378"/>
    </row>
    <row r="67" spans="1:8" x14ac:dyDescent="0.25">
      <c r="A67" s="527"/>
      <c r="B67" s="527" t="s">
        <v>904</v>
      </c>
      <c r="C67" s="528"/>
      <c r="D67" s="528">
        <v>1200000</v>
      </c>
      <c r="E67" s="528"/>
      <c r="F67" s="523"/>
      <c r="G67" s="378"/>
      <c r="H67" s="378"/>
    </row>
    <row r="68" spans="1:8" x14ac:dyDescent="0.25">
      <c r="A68" s="527"/>
      <c r="B68" s="527" t="s">
        <v>948</v>
      </c>
      <c r="C68" s="528"/>
      <c r="D68" s="528">
        <v>7000</v>
      </c>
      <c r="E68" s="528"/>
      <c r="F68" s="523"/>
      <c r="G68" s="378"/>
      <c r="H68" s="378"/>
    </row>
    <row r="69" spans="1:8" x14ac:dyDescent="0.25">
      <c r="A69" s="527"/>
      <c r="B69" s="527" t="s">
        <v>949</v>
      </c>
      <c r="C69" s="528"/>
      <c r="D69" s="528">
        <v>150000</v>
      </c>
      <c r="E69" s="528"/>
      <c r="F69" s="523"/>
      <c r="G69" s="378"/>
      <c r="H69" s="378"/>
    </row>
    <row r="70" spans="1:8" x14ac:dyDescent="0.25">
      <c r="A70" s="527"/>
      <c r="B70" s="527" t="s">
        <v>950</v>
      </c>
      <c r="C70" s="528">
        <v>15000</v>
      </c>
      <c r="D70" s="528">
        <f>SUM(C70*4)</f>
        <v>60000</v>
      </c>
      <c r="E70" s="528"/>
      <c r="F70" s="523"/>
      <c r="G70" s="378"/>
      <c r="H70" s="378"/>
    </row>
    <row r="71" spans="1:8" x14ac:dyDescent="0.25">
      <c r="A71" s="527"/>
      <c r="B71" s="527" t="s">
        <v>905</v>
      </c>
      <c r="C71" s="528"/>
      <c r="D71" s="528">
        <v>10000</v>
      </c>
      <c r="E71" s="528"/>
      <c r="F71" s="523"/>
      <c r="G71" s="378"/>
      <c r="H71" s="378"/>
    </row>
    <row r="72" spans="1:8" x14ac:dyDescent="0.25">
      <c r="A72" s="527"/>
      <c r="B72" s="527" t="s">
        <v>906</v>
      </c>
      <c r="C72" s="528">
        <v>15000</v>
      </c>
      <c r="D72" s="528">
        <f>SUM(C72*4)</f>
        <v>60000</v>
      </c>
      <c r="E72" s="528"/>
      <c r="F72" s="523"/>
      <c r="G72" s="378"/>
      <c r="H72" s="378"/>
    </row>
    <row r="73" spans="1:8" x14ac:dyDescent="0.25">
      <c r="A73" s="527"/>
      <c r="B73" s="527" t="s">
        <v>146</v>
      </c>
      <c r="C73" s="528">
        <v>150000</v>
      </c>
      <c r="D73" s="528">
        <f>SUM(C73*12)</f>
        <v>1800000</v>
      </c>
      <c r="E73" s="528"/>
      <c r="F73" s="523"/>
      <c r="G73" s="378"/>
      <c r="H73" s="378"/>
    </row>
    <row r="74" spans="1:8" x14ac:dyDescent="0.25">
      <c r="A74" s="527"/>
      <c r="B74" s="527" t="s">
        <v>951</v>
      </c>
      <c r="C74" s="529"/>
      <c r="D74" s="528">
        <v>500000</v>
      </c>
      <c r="E74" s="528"/>
      <c r="F74" s="523"/>
      <c r="G74" s="378"/>
      <c r="H74" s="378"/>
    </row>
    <row r="75" spans="1:8" x14ac:dyDescent="0.25">
      <c r="A75" s="527"/>
      <c r="B75" s="535" t="s">
        <v>952</v>
      </c>
      <c r="C75" s="528">
        <v>100000</v>
      </c>
      <c r="D75" s="526">
        <f>SUM(C75*4)</f>
        <v>400000</v>
      </c>
      <c r="E75" s="528"/>
      <c r="F75" s="523"/>
      <c r="G75" s="378"/>
      <c r="H75" s="378"/>
    </row>
    <row r="76" spans="1:8" x14ac:dyDescent="0.25">
      <c r="A76" s="527"/>
      <c r="B76" s="535" t="s">
        <v>953</v>
      </c>
      <c r="C76" s="529"/>
      <c r="D76" s="526">
        <v>20000</v>
      </c>
      <c r="E76" s="528"/>
      <c r="F76" s="523"/>
      <c r="G76" s="378"/>
      <c r="H76" s="378"/>
    </row>
    <row r="77" spans="1:8" x14ac:dyDescent="0.25">
      <c r="A77" s="527" t="s">
        <v>252</v>
      </c>
      <c r="B77" s="535" t="s">
        <v>1228</v>
      </c>
      <c r="C77" s="529"/>
      <c r="D77" s="526"/>
      <c r="E77" s="325">
        <v>10000</v>
      </c>
      <c r="F77" s="523"/>
      <c r="G77" s="378"/>
      <c r="H77" s="378"/>
    </row>
    <row r="78" spans="1:8" x14ac:dyDescent="0.25">
      <c r="A78" s="524" t="s">
        <v>255</v>
      </c>
      <c r="B78" s="524" t="s">
        <v>888</v>
      </c>
      <c r="C78" s="525"/>
      <c r="D78" s="526"/>
      <c r="E78" s="526">
        <v>1600000</v>
      </c>
      <c r="F78" s="523"/>
      <c r="G78" s="378"/>
      <c r="H78" s="378"/>
    </row>
    <row r="79" spans="1:8" x14ac:dyDescent="0.25">
      <c r="A79" s="524" t="s">
        <v>257</v>
      </c>
      <c r="B79" s="524" t="s">
        <v>1221</v>
      </c>
      <c r="C79" s="525"/>
      <c r="D79" s="526"/>
      <c r="E79" s="526">
        <v>1212000</v>
      </c>
      <c r="F79" s="523"/>
      <c r="G79" s="378"/>
      <c r="H79" s="378"/>
    </row>
    <row r="80" spans="1:8" x14ac:dyDescent="0.25">
      <c r="A80" s="524" t="s">
        <v>259</v>
      </c>
      <c r="B80" s="524" t="s">
        <v>954</v>
      </c>
      <c r="C80" s="525"/>
      <c r="D80" s="526">
        <v>100000</v>
      </c>
      <c r="E80" s="526">
        <f>SUM(D80)</f>
        <v>100000</v>
      </c>
      <c r="F80" s="523"/>
      <c r="G80" s="378"/>
      <c r="H80" s="378"/>
    </row>
    <row r="81" spans="1:8" x14ac:dyDescent="0.25">
      <c r="A81" s="524" t="s">
        <v>262</v>
      </c>
      <c r="B81" s="524" t="s">
        <v>175</v>
      </c>
      <c r="C81" s="529"/>
      <c r="D81" s="529"/>
      <c r="E81" s="526">
        <f>SUM(D82)</f>
        <v>20000</v>
      </c>
      <c r="F81" s="529"/>
      <c r="G81" s="378"/>
      <c r="H81" s="378"/>
    </row>
    <row r="82" spans="1:8" x14ac:dyDescent="0.25">
      <c r="A82" s="527"/>
      <c r="B82" s="527" t="s">
        <v>907</v>
      </c>
      <c r="C82" s="529"/>
      <c r="D82" s="528">
        <v>20000</v>
      </c>
      <c r="E82" s="529"/>
      <c r="F82" s="529"/>
      <c r="G82" s="378"/>
      <c r="H82" s="378"/>
    </row>
    <row r="83" spans="1:8" ht="15.75" thickBot="1" x14ac:dyDescent="0.3">
      <c r="A83" s="530" t="s">
        <v>889</v>
      </c>
      <c r="B83" s="535"/>
      <c r="C83" s="538"/>
      <c r="D83" s="538"/>
      <c r="E83" s="538"/>
      <c r="F83" s="533">
        <f>SUM(E37:E82)</f>
        <v>15704800</v>
      </c>
      <c r="G83" s="378"/>
      <c r="H83" s="378"/>
    </row>
    <row r="84" spans="1:8" ht="15.75" thickBot="1" x14ac:dyDescent="0.3">
      <c r="A84" s="603" t="s">
        <v>955</v>
      </c>
      <c r="B84" s="604"/>
      <c r="C84" s="560" t="s">
        <v>1362</v>
      </c>
      <c r="D84" s="607">
        <v>3915653</v>
      </c>
      <c r="E84" s="538"/>
      <c r="F84" s="539">
        <f>SUM(F24:F83)</f>
        <v>28710730</v>
      </c>
      <c r="G84" s="378"/>
      <c r="H84" s="378"/>
    </row>
    <row r="85" spans="1:8" x14ac:dyDescent="0.25">
      <c r="A85" s="540"/>
      <c r="B85" s="540"/>
      <c r="C85" s="541"/>
      <c r="D85" s="541"/>
      <c r="E85" s="541"/>
      <c r="F85" s="541"/>
      <c r="G85" s="378"/>
      <c r="H85" s="378"/>
    </row>
    <row r="86" spans="1:8" ht="15.75" thickBot="1" x14ac:dyDescent="0.3">
      <c r="A86" s="522"/>
      <c r="B86" s="522"/>
      <c r="C86" s="523"/>
      <c r="D86" s="523"/>
      <c r="E86" s="523"/>
      <c r="F86" s="523"/>
      <c r="G86" s="378"/>
      <c r="H86" s="378"/>
    </row>
    <row r="87" spans="1:8" ht="15.75" thickBot="1" x14ac:dyDescent="0.3">
      <c r="A87" s="726" t="s">
        <v>956</v>
      </c>
      <c r="B87" s="727"/>
      <c r="C87" s="727"/>
      <c r="D87" s="727"/>
      <c r="E87" s="727"/>
      <c r="F87" s="728"/>
      <c r="G87" s="378"/>
      <c r="H87" s="378"/>
    </row>
    <row r="88" spans="1:8" x14ac:dyDescent="0.25">
      <c r="A88" s="522"/>
      <c r="B88" s="522"/>
      <c r="C88" s="523"/>
      <c r="D88" s="523"/>
      <c r="E88" s="523"/>
      <c r="F88" s="523"/>
      <c r="G88" s="378"/>
      <c r="H88" s="378"/>
    </row>
    <row r="89" spans="1:8" x14ac:dyDescent="0.25">
      <c r="A89" s="524" t="s">
        <v>230</v>
      </c>
      <c r="B89" s="524" t="s">
        <v>957</v>
      </c>
      <c r="C89" s="526"/>
      <c r="D89" s="526"/>
      <c r="E89" s="526">
        <f>SUM(D90:D91)</f>
        <v>40000</v>
      </c>
      <c r="F89" s="542"/>
      <c r="G89" s="378"/>
      <c r="H89" s="378"/>
    </row>
    <row r="90" spans="1:8" x14ac:dyDescent="0.25">
      <c r="A90" s="524"/>
      <c r="B90" s="527" t="s">
        <v>958</v>
      </c>
      <c r="C90" s="528"/>
      <c r="D90" s="528">
        <v>20000</v>
      </c>
      <c r="E90" s="526"/>
      <c r="F90" s="542"/>
      <c r="G90" s="378"/>
      <c r="H90" s="378"/>
    </row>
    <row r="91" spans="1:8" x14ac:dyDescent="0.25">
      <c r="A91" s="527"/>
      <c r="B91" s="527"/>
      <c r="C91" s="528"/>
      <c r="D91" s="528">
        <v>20000</v>
      </c>
      <c r="E91" s="528"/>
      <c r="F91" s="542"/>
      <c r="G91" s="378"/>
      <c r="H91" s="378"/>
    </row>
    <row r="92" spans="1:8" x14ac:dyDescent="0.25">
      <c r="A92" s="524" t="s">
        <v>240</v>
      </c>
      <c r="B92" s="524" t="s">
        <v>158</v>
      </c>
      <c r="C92" s="526"/>
      <c r="D92" s="526"/>
      <c r="E92" s="526">
        <f>SUM(D93:D94)</f>
        <v>27600</v>
      </c>
      <c r="F92" s="542"/>
      <c r="G92" s="378"/>
      <c r="H92" s="378"/>
    </row>
    <row r="93" spans="1:8" x14ac:dyDescent="0.25">
      <c r="A93" s="527"/>
      <c r="B93" s="527" t="s">
        <v>899</v>
      </c>
      <c r="C93" s="528">
        <v>2000</v>
      </c>
      <c r="D93" s="528">
        <f>SUM(C93*12)</f>
        <v>24000</v>
      </c>
      <c r="E93" s="528"/>
      <c r="F93" s="542"/>
      <c r="G93" s="378"/>
      <c r="H93" s="378"/>
    </row>
    <row r="94" spans="1:8" x14ac:dyDescent="0.25">
      <c r="A94" s="527"/>
      <c r="B94" s="527" t="s">
        <v>900</v>
      </c>
      <c r="C94" s="528">
        <v>300</v>
      </c>
      <c r="D94" s="528">
        <f>SUM(C94*12)</f>
        <v>3600</v>
      </c>
      <c r="E94" s="528"/>
      <c r="F94" s="542"/>
      <c r="G94" s="378"/>
      <c r="H94" s="378"/>
    </row>
    <row r="95" spans="1:8" x14ac:dyDescent="0.25">
      <c r="A95" s="524" t="s">
        <v>255</v>
      </c>
      <c r="B95" s="524" t="s">
        <v>888</v>
      </c>
      <c r="C95" s="526"/>
      <c r="D95" s="526"/>
      <c r="E95" s="526">
        <v>40000</v>
      </c>
      <c r="F95" s="528"/>
      <c r="G95" s="378"/>
      <c r="H95" s="378"/>
    </row>
    <row r="96" spans="1:8" ht="15.75" thickBot="1" x14ac:dyDescent="0.3">
      <c r="A96" s="530" t="s">
        <v>889</v>
      </c>
      <c r="B96" s="535"/>
      <c r="C96" s="544"/>
      <c r="D96" s="544"/>
      <c r="E96" s="544"/>
      <c r="F96" s="533">
        <f>SUM(E89:E95)</f>
        <v>107600</v>
      </c>
      <c r="G96" s="378"/>
      <c r="H96" s="378"/>
    </row>
    <row r="97" spans="1:8" ht="15.75" thickBot="1" x14ac:dyDescent="0.3">
      <c r="A97" s="742" t="s">
        <v>1342</v>
      </c>
      <c r="B97" s="743"/>
      <c r="C97" s="558" t="s">
        <v>1331</v>
      </c>
      <c r="D97" s="558">
        <v>100000</v>
      </c>
      <c r="E97" s="528"/>
      <c r="F97" s="539">
        <f>SUM(F96)</f>
        <v>107600</v>
      </c>
      <c r="G97" s="378"/>
      <c r="H97" s="378"/>
    </row>
    <row r="98" spans="1:8" x14ac:dyDescent="0.25">
      <c r="A98" s="522"/>
      <c r="B98" s="522"/>
      <c r="C98" s="523"/>
      <c r="D98" s="523"/>
      <c r="E98" s="523"/>
      <c r="F98" s="523"/>
      <c r="G98" s="378"/>
      <c r="H98" s="378"/>
    </row>
    <row r="99" spans="1:8" ht="15.75" thickBot="1" x14ac:dyDescent="0.3">
      <c r="A99" s="522"/>
      <c r="B99" s="522"/>
      <c r="C99" s="523"/>
      <c r="D99" s="523"/>
      <c r="E99" s="523"/>
      <c r="F99" s="523"/>
      <c r="G99" s="378"/>
      <c r="H99" s="378"/>
    </row>
    <row r="100" spans="1:8" ht="15.75" thickBot="1" x14ac:dyDescent="0.3">
      <c r="A100" s="726" t="s">
        <v>959</v>
      </c>
      <c r="B100" s="727"/>
      <c r="C100" s="727"/>
      <c r="D100" s="727"/>
      <c r="E100" s="727"/>
      <c r="F100" s="728"/>
      <c r="G100" s="378"/>
      <c r="H100" s="378"/>
    </row>
    <row r="101" spans="1:8" x14ac:dyDescent="0.25">
      <c r="A101" s="522"/>
      <c r="B101" s="522"/>
      <c r="C101" s="523"/>
      <c r="D101" s="523"/>
      <c r="E101" s="523"/>
      <c r="F101" s="523"/>
      <c r="G101" s="378"/>
      <c r="H101" s="378"/>
    </row>
    <row r="102" spans="1:8" x14ac:dyDescent="0.25">
      <c r="A102" s="524" t="s">
        <v>230</v>
      </c>
      <c r="B102" s="524" t="s">
        <v>891</v>
      </c>
      <c r="C102" s="526"/>
      <c r="D102" s="526"/>
      <c r="E102" s="526">
        <f>SUM(D103:D103)</f>
        <v>120000</v>
      </c>
      <c r="F102" s="542"/>
      <c r="G102" s="378"/>
      <c r="H102" s="378"/>
    </row>
    <row r="103" spans="1:8" x14ac:dyDescent="0.25">
      <c r="A103" s="527"/>
      <c r="B103" s="527"/>
      <c r="C103" s="528"/>
      <c r="D103" s="528">
        <v>120000</v>
      </c>
      <c r="E103" s="528"/>
      <c r="F103" s="542"/>
      <c r="G103" s="378"/>
      <c r="H103" s="378"/>
    </row>
    <row r="104" spans="1:8" x14ac:dyDescent="0.25">
      <c r="A104" s="524" t="s">
        <v>240</v>
      </c>
      <c r="B104" s="524" t="s">
        <v>158</v>
      </c>
      <c r="C104" s="526"/>
      <c r="D104" s="526"/>
      <c r="E104" s="526">
        <f>SUM(D105:D117)</f>
        <v>394000</v>
      </c>
      <c r="F104" s="542"/>
      <c r="G104" s="378"/>
      <c r="H104" s="378"/>
    </row>
    <row r="105" spans="1:8" x14ac:dyDescent="0.25">
      <c r="A105" s="527"/>
      <c r="B105" s="524" t="s">
        <v>898</v>
      </c>
      <c r="C105" s="528"/>
      <c r="D105" s="528">
        <f>SUM(C106:C107)</f>
        <v>108000</v>
      </c>
      <c r="E105" s="528"/>
      <c r="F105" s="542"/>
      <c r="G105" s="378"/>
      <c r="H105" s="378"/>
    </row>
    <row r="106" spans="1:8" x14ac:dyDescent="0.25">
      <c r="A106" s="527"/>
      <c r="B106" s="527" t="s">
        <v>1352</v>
      </c>
      <c r="C106" s="528">
        <v>36000</v>
      </c>
      <c r="D106" s="528"/>
      <c r="E106" s="528"/>
      <c r="F106" s="542"/>
      <c r="G106" s="378"/>
      <c r="H106" s="378"/>
    </row>
    <row r="107" spans="1:8" x14ac:dyDescent="0.25">
      <c r="A107" s="527"/>
      <c r="B107" s="527" t="s">
        <v>1353</v>
      </c>
      <c r="C107" s="528">
        <v>72000</v>
      </c>
      <c r="D107" s="528"/>
      <c r="E107" s="528"/>
      <c r="F107" s="542"/>
      <c r="G107" s="378"/>
      <c r="H107" s="378"/>
    </row>
    <row r="108" spans="1:8" x14ac:dyDescent="0.25">
      <c r="A108" s="527"/>
      <c r="B108" s="524" t="s">
        <v>899</v>
      </c>
      <c r="C108" s="528"/>
      <c r="D108" s="528">
        <f>SUM(C109:C111)</f>
        <v>50000</v>
      </c>
      <c r="E108" s="528"/>
      <c r="F108" s="542"/>
      <c r="G108" s="378"/>
      <c r="H108" s="378"/>
    </row>
    <row r="109" spans="1:8" x14ac:dyDescent="0.25">
      <c r="A109" s="527"/>
      <c r="B109" s="527" t="s">
        <v>961</v>
      </c>
      <c r="C109" s="528">
        <v>5000</v>
      </c>
      <c r="D109" s="528"/>
      <c r="E109" s="528"/>
      <c r="F109" s="542"/>
      <c r="G109" s="378"/>
      <c r="H109" s="378"/>
    </row>
    <row r="110" spans="1:8" x14ac:dyDescent="0.25">
      <c r="A110" s="527"/>
      <c r="B110" s="527" t="s">
        <v>962</v>
      </c>
      <c r="C110" s="528">
        <v>5000</v>
      </c>
      <c r="D110" s="528"/>
      <c r="E110" s="528"/>
      <c r="F110" s="542"/>
      <c r="G110" s="378"/>
      <c r="H110" s="378"/>
    </row>
    <row r="111" spans="1:8" x14ac:dyDescent="0.25">
      <c r="A111" s="527"/>
      <c r="B111" s="527" t="s">
        <v>960</v>
      </c>
      <c r="C111" s="528">
        <v>40000</v>
      </c>
      <c r="D111" s="528"/>
      <c r="E111" s="528"/>
      <c r="F111" s="542"/>
      <c r="G111" s="378"/>
      <c r="H111" s="378"/>
    </row>
    <row r="112" spans="1:8" x14ac:dyDescent="0.25">
      <c r="A112" s="527"/>
      <c r="B112" s="524" t="s">
        <v>900</v>
      </c>
      <c r="C112" s="528"/>
      <c r="D112" s="528">
        <f>SUM(C113:C117)</f>
        <v>236000</v>
      </c>
      <c r="E112" s="528"/>
      <c r="F112" s="542"/>
      <c r="G112" s="378"/>
      <c r="H112" s="378"/>
    </row>
    <row r="113" spans="1:8" x14ac:dyDescent="0.25">
      <c r="A113" s="527"/>
      <c r="B113" s="527" t="s">
        <v>963</v>
      </c>
      <c r="C113" s="528">
        <v>5000</v>
      </c>
      <c r="D113" s="528"/>
      <c r="E113" s="528"/>
      <c r="F113" s="542"/>
      <c r="G113" s="378"/>
      <c r="H113" s="378"/>
    </row>
    <row r="114" spans="1:8" x14ac:dyDescent="0.25">
      <c r="A114" s="527"/>
      <c r="B114" s="527" t="s">
        <v>1238</v>
      </c>
      <c r="C114" s="528">
        <v>2000</v>
      </c>
      <c r="D114" s="528"/>
      <c r="E114" s="528"/>
      <c r="F114" s="542"/>
      <c r="G114" s="378"/>
      <c r="H114" s="378"/>
    </row>
    <row r="115" spans="1:8" x14ac:dyDescent="0.25">
      <c r="A115" s="527"/>
      <c r="B115" s="527" t="s">
        <v>1239</v>
      </c>
      <c r="C115" s="528">
        <v>1000</v>
      </c>
      <c r="D115" s="528"/>
      <c r="E115" s="528"/>
      <c r="F115" s="542"/>
      <c r="G115" s="378"/>
      <c r="H115" s="378"/>
    </row>
    <row r="116" spans="1:8" x14ac:dyDescent="0.25">
      <c r="A116" s="527"/>
      <c r="B116" s="527" t="s">
        <v>1354</v>
      </c>
      <c r="C116" s="528">
        <v>84000</v>
      </c>
      <c r="D116" s="528"/>
      <c r="E116" s="528"/>
      <c r="F116" s="542"/>
      <c r="G116" s="378"/>
      <c r="H116" s="378"/>
    </row>
    <row r="117" spans="1:8" x14ac:dyDescent="0.25">
      <c r="A117" s="527"/>
      <c r="B117" s="527" t="s">
        <v>1353</v>
      </c>
      <c r="C117" s="528">
        <v>144000</v>
      </c>
      <c r="D117" s="528"/>
      <c r="E117" s="528"/>
      <c r="F117" s="542"/>
      <c r="G117" s="378"/>
      <c r="H117" s="378"/>
    </row>
    <row r="118" spans="1:8" x14ac:dyDescent="0.25">
      <c r="A118" s="524" t="s">
        <v>242</v>
      </c>
      <c r="B118" s="524" t="s">
        <v>901</v>
      </c>
      <c r="C118" s="526"/>
      <c r="D118" s="526"/>
      <c r="E118" s="526">
        <f>SUM(D119)</f>
        <v>0</v>
      </c>
      <c r="F118" s="542"/>
      <c r="G118" s="378"/>
      <c r="H118" s="378"/>
    </row>
    <row r="119" spans="1:8" x14ac:dyDescent="0.25">
      <c r="A119" s="527"/>
      <c r="B119" s="527">
        <v>0</v>
      </c>
      <c r="C119" s="528"/>
      <c r="D119" s="528">
        <v>0</v>
      </c>
      <c r="E119" s="528"/>
      <c r="F119" s="542"/>
      <c r="G119" s="378"/>
      <c r="H119" s="378"/>
    </row>
    <row r="120" spans="1:8" x14ac:dyDescent="0.25">
      <c r="A120" s="524" t="s">
        <v>243</v>
      </c>
      <c r="B120" s="524" t="s">
        <v>902</v>
      </c>
      <c r="C120" s="526"/>
      <c r="D120" s="526"/>
      <c r="E120" s="526">
        <f>SUM(D121:D122)</f>
        <v>100000</v>
      </c>
      <c r="F120" s="542"/>
      <c r="G120" s="378"/>
      <c r="H120" s="378"/>
    </row>
    <row r="121" spans="1:8" x14ac:dyDescent="0.25">
      <c r="A121" s="527"/>
      <c r="B121" s="527"/>
      <c r="C121" s="528"/>
      <c r="D121" s="528">
        <v>100000</v>
      </c>
      <c r="E121" s="528"/>
      <c r="F121" s="542"/>
      <c r="G121" s="378"/>
      <c r="H121" s="378"/>
    </row>
    <row r="122" spans="1:8" x14ac:dyDescent="0.25">
      <c r="A122" s="527"/>
      <c r="B122" s="527"/>
      <c r="C122" s="528"/>
      <c r="D122" s="528">
        <f>SUM(C122*12)</f>
        <v>0</v>
      </c>
      <c r="E122" s="528"/>
      <c r="F122" s="542"/>
      <c r="G122" s="378"/>
      <c r="H122" s="378"/>
    </row>
    <row r="123" spans="1:8" x14ac:dyDescent="0.25">
      <c r="A123" s="524" t="s">
        <v>244</v>
      </c>
      <c r="B123" s="524" t="s">
        <v>919</v>
      </c>
      <c r="C123" s="526"/>
      <c r="D123" s="526"/>
      <c r="E123" s="526">
        <f>SUM(D124:D135)</f>
        <v>0</v>
      </c>
      <c r="F123" s="542"/>
      <c r="G123" s="378"/>
      <c r="H123" s="378"/>
    </row>
    <row r="124" spans="1:8" x14ac:dyDescent="0.25">
      <c r="A124" s="524"/>
      <c r="B124" s="524" t="s">
        <v>964</v>
      </c>
      <c r="C124" s="526"/>
      <c r="D124" s="528">
        <f>SUM(C125:C127)</f>
        <v>0</v>
      </c>
      <c r="E124" s="526"/>
      <c r="F124" s="542"/>
      <c r="G124" s="378"/>
      <c r="H124" s="378"/>
    </row>
    <row r="125" spans="1:8" x14ac:dyDescent="0.25">
      <c r="A125" s="524"/>
      <c r="B125" s="527" t="s">
        <v>965</v>
      </c>
      <c r="C125" s="528">
        <v>0</v>
      </c>
      <c r="D125" s="528"/>
      <c r="E125" s="526"/>
      <c r="F125" s="542"/>
      <c r="G125" s="378"/>
      <c r="H125" s="378"/>
    </row>
    <row r="126" spans="1:8" x14ac:dyDescent="0.25">
      <c r="A126" s="524"/>
      <c r="B126" s="527" t="s">
        <v>966</v>
      </c>
      <c r="C126" s="528">
        <v>0</v>
      </c>
      <c r="D126" s="528"/>
      <c r="E126" s="526"/>
      <c r="F126" s="542"/>
      <c r="G126" s="378"/>
      <c r="H126" s="378"/>
    </row>
    <row r="127" spans="1:8" x14ac:dyDescent="0.25">
      <c r="A127" s="524"/>
      <c r="B127" s="527" t="s">
        <v>967</v>
      </c>
      <c r="C127" s="528">
        <v>0</v>
      </c>
      <c r="D127" s="528"/>
      <c r="E127" s="526"/>
      <c r="F127" s="542"/>
      <c r="G127" s="378"/>
      <c r="H127" s="378"/>
    </row>
    <row r="128" spans="1:8" x14ac:dyDescent="0.25">
      <c r="A128" s="524"/>
      <c r="B128" s="524" t="s">
        <v>968</v>
      </c>
      <c r="C128" s="526"/>
      <c r="D128" s="528">
        <f>SUM(C129:C131)</f>
        <v>0</v>
      </c>
      <c r="E128" s="526"/>
      <c r="F128" s="542"/>
      <c r="G128" s="378"/>
      <c r="H128" s="378"/>
    </row>
    <row r="129" spans="1:8" x14ac:dyDescent="0.25">
      <c r="A129" s="524"/>
      <c r="B129" s="527" t="s">
        <v>965</v>
      </c>
      <c r="C129" s="526">
        <v>0</v>
      </c>
      <c r="D129" s="528"/>
      <c r="E129" s="526"/>
      <c r="F129" s="542"/>
      <c r="G129" s="378"/>
      <c r="H129" s="378"/>
    </row>
    <row r="130" spans="1:8" x14ac:dyDescent="0.25">
      <c r="A130" s="524"/>
      <c r="B130" s="527" t="s">
        <v>966</v>
      </c>
      <c r="C130" s="528">
        <v>0</v>
      </c>
      <c r="D130" s="528"/>
      <c r="E130" s="526"/>
      <c r="F130" s="542"/>
      <c r="G130" s="378"/>
      <c r="H130" s="378"/>
    </row>
    <row r="131" spans="1:8" x14ac:dyDescent="0.25">
      <c r="A131" s="524"/>
      <c r="B131" s="527" t="s">
        <v>967</v>
      </c>
      <c r="C131" s="526">
        <v>0</v>
      </c>
      <c r="D131" s="528"/>
      <c r="E131" s="526"/>
      <c r="F131" s="542"/>
      <c r="G131" s="378"/>
      <c r="H131" s="378"/>
    </row>
    <row r="132" spans="1:8" x14ac:dyDescent="0.25">
      <c r="A132" s="527"/>
      <c r="B132" s="524" t="s">
        <v>1355</v>
      </c>
      <c r="C132" s="528"/>
      <c r="D132" s="528">
        <f>SUM(C133:C135)</f>
        <v>0</v>
      </c>
      <c r="E132" s="528"/>
      <c r="F132" s="542"/>
      <c r="G132" s="378"/>
      <c r="H132" s="378"/>
    </row>
    <row r="133" spans="1:8" x14ac:dyDescent="0.25">
      <c r="A133" s="527"/>
      <c r="B133" s="524" t="s">
        <v>965</v>
      </c>
      <c r="C133" s="528">
        <v>0</v>
      </c>
      <c r="D133" s="528"/>
      <c r="E133" s="528"/>
      <c r="F133" s="542"/>
      <c r="G133" s="378"/>
      <c r="H133" s="378"/>
    </row>
    <row r="134" spans="1:8" x14ac:dyDescent="0.25">
      <c r="A134" s="527"/>
      <c r="B134" s="524" t="s">
        <v>966</v>
      </c>
      <c r="C134" s="528">
        <v>0</v>
      </c>
      <c r="D134" s="528"/>
      <c r="E134" s="528"/>
      <c r="F134" s="542"/>
      <c r="G134" s="378"/>
      <c r="H134" s="378"/>
    </row>
    <row r="135" spans="1:8" x14ac:dyDescent="0.25">
      <c r="A135" s="527"/>
      <c r="B135" s="524" t="s">
        <v>967</v>
      </c>
      <c r="C135" s="528">
        <v>0</v>
      </c>
      <c r="D135" s="528"/>
      <c r="E135" s="528"/>
      <c r="F135" s="542"/>
      <c r="G135" s="378"/>
      <c r="H135" s="378"/>
    </row>
    <row r="136" spans="1:8" x14ac:dyDescent="0.25">
      <c r="A136" s="524" t="s">
        <v>247</v>
      </c>
      <c r="B136" s="524" t="s">
        <v>146</v>
      </c>
      <c r="C136" s="526"/>
      <c r="D136" s="526"/>
      <c r="E136" s="526">
        <f>SUM(C137)</f>
        <v>500000</v>
      </c>
      <c r="F136" s="542"/>
      <c r="G136" s="378"/>
      <c r="H136" s="378"/>
    </row>
    <row r="137" spans="1:8" x14ac:dyDescent="0.25">
      <c r="A137" s="524"/>
      <c r="B137" s="524"/>
      <c r="C137" s="526">
        <v>500000</v>
      </c>
      <c r="D137" s="526"/>
      <c r="E137" s="526"/>
      <c r="F137" s="542"/>
      <c r="G137" s="378"/>
      <c r="H137" s="378"/>
    </row>
    <row r="138" spans="1:8" x14ac:dyDescent="0.25">
      <c r="A138" s="524" t="s">
        <v>255</v>
      </c>
      <c r="B138" s="524" t="s">
        <v>888</v>
      </c>
      <c r="C138" s="526"/>
      <c r="D138" s="526"/>
      <c r="E138" s="526">
        <v>200000</v>
      </c>
      <c r="F138" s="542"/>
      <c r="G138" s="378"/>
      <c r="H138" s="378"/>
    </row>
    <row r="139" spans="1:8" x14ac:dyDescent="0.25">
      <c r="A139" s="524" t="s">
        <v>257</v>
      </c>
      <c r="B139" s="524" t="s">
        <v>1221</v>
      </c>
      <c r="C139" s="526"/>
      <c r="D139" s="526"/>
      <c r="E139" s="526">
        <f>SUM(C140)</f>
        <v>0</v>
      </c>
      <c r="F139" s="542"/>
      <c r="G139" s="378"/>
      <c r="H139" s="378"/>
    </row>
    <row r="140" spans="1:8" x14ac:dyDescent="0.25">
      <c r="A140" s="524"/>
      <c r="B140" s="527">
        <v>0</v>
      </c>
      <c r="C140" s="526">
        <v>0</v>
      </c>
      <c r="D140" s="526"/>
      <c r="E140" s="526"/>
      <c r="F140" s="542"/>
      <c r="G140" s="378"/>
      <c r="H140" s="378"/>
    </row>
    <row r="141" spans="1:8" x14ac:dyDescent="0.25">
      <c r="A141" s="524" t="s">
        <v>262</v>
      </c>
      <c r="B141" s="524" t="s">
        <v>175</v>
      </c>
      <c r="C141" s="528"/>
      <c r="D141" s="528"/>
      <c r="E141" s="526">
        <f>SUM(D142)</f>
        <v>0</v>
      </c>
      <c r="F141" s="528"/>
      <c r="G141" s="378"/>
      <c r="H141" s="378"/>
    </row>
    <row r="142" spans="1:8" x14ac:dyDescent="0.25">
      <c r="A142" s="527"/>
      <c r="B142" s="527"/>
      <c r="C142" s="528"/>
      <c r="D142" s="528"/>
      <c r="E142" s="528"/>
      <c r="F142" s="528"/>
      <c r="G142" s="378"/>
      <c r="H142" s="378"/>
    </row>
    <row r="143" spans="1:8" x14ac:dyDescent="0.25">
      <c r="A143" s="530" t="s">
        <v>889</v>
      </c>
      <c r="B143" s="535"/>
      <c r="C143" s="544"/>
      <c r="D143" s="544"/>
      <c r="E143" s="544"/>
      <c r="F143" s="533">
        <f>SUM(E102:E142)</f>
        <v>1314000</v>
      </c>
      <c r="G143" s="378"/>
      <c r="H143" s="378"/>
    </row>
    <row r="144" spans="1:8" x14ac:dyDescent="0.25">
      <c r="A144" s="524" t="s">
        <v>317</v>
      </c>
      <c r="B144" s="524" t="s">
        <v>1273</v>
      </c>
      <c r="C144" s="526"/>
      <c r="D144" s="526"/>
      <c r="E144" s="526">
        <f>SUM(C145)</f>
        <v>0</v>
      </c>
      <c r="F144" s="543"/>
      <c r="G144" s="378"/>
      <c r="H144" s="378"/>
    </row>
    <row r="145" spans="1:8" x14ac:dyDescent="0.25">
      <c r="A145" s="527"/>
      <c r="B145" s="527"/>
      <c r="C145" s="528"/>
      <c r="D145" s="528"/>
      <c r="E145" s="528"/>
      <c r="F145" s="543"/>
      <c r="G145" s="378"/>
      <c r="H145" s="378"/>
    </row>
    <row r="146" spans="1:8" x14ac:dyDescent="0.25">
      <c r="A146" s="524" t="s">
        <v>322</v>
      </c>
      <c r="B146" s="524" t="s">
        <v>1274</v>
      </c>
      <c r="C146" s="526"/>
      <c r="D146" s="526"/>
      <c r="E146" s="526">
        <f>SUM(C147)</f>
        <v>0</v>
      </c>
      <c r="F146" s="543"/>
      <c r="G146" s="378"/>
      <c r="H146" s="378"/>
    </row>
    <row r="147" spans="1:8" x14ac:dyDescent="0.25">
      <c r="A147" s="522"/>
      <c r="B147" s="527"/>
      <c r="C147" s="529"/>
      <c r="D147" s="523"/>
      <c r="E147" s="523"/>
      <c r="F147" s="523"/>
      <c r="G147" s="378"/>
      <c r="H147" s="378"/>
    </row>
    <row r="148" spans="1:8" x14ac:dyDescent="0.25">
      <c r="A148" s="530" t="s">
        <v>1285</v>
      </c>
      <c r="B148" s="535"/>
      <c r="C148" s="538"/>
      <c r="D148" s="541"/>
      <c r="E148" s="541"/>
      <c r="F148" s="531">
        <f>SUM(E144:E146)</f>
        <v>0</v>
      </c>
      <c r="G148" s="378"/>
      <c r="H148" s="378"/>
    </row>
    <row r="149" spans="1:8" ht="15.75" thickBot="1" x14ac:dyDescent="0.3">
      <c r="A149" s="522"/>
      <c r="B149" s="527"/>
      <c r="C149" s="529"/>
      <c r="D149" s="523"/>
      <c r="E149" s="523"/>
      <c r="F149" s="523"/>
      <c r="G149" s="378"/>
      <c r="H149" s="378"/>
    </row>
    <row r="150" spans="1:8" ht="15.75" thickBot="1" x14ac:dyDescent="0.3">
      <c r="A150" s="734" t="s">
        <v>1342</v>
      </c>
      <c r="B150" s="734"/>
      <c r="C150" s="566"/>
      <c r="D150" s="561"/>
      <c r="E150" s="561"/>
      <c r="F150" s="589">
        <f>SUM(F143:F148)</f>
        <v>1314000</v>
      </c>
      <c r="G150" s="378"/>
      <c r="H150" s="378"/>
    </row>
    <row r="151" spans="1:8" x14ac:dyDescent="0.25">
      <c r="A151" s="522"/>
      <c r="B151" s="522"/>
      <c r="C151" s="523"/>
      <c r="D151" s="523"/>
      <c r="E151" s="523"/>
      <c r="F151" s="523"/>
      <c r="G151" s="378"/>
      <c r="H151" s="378"/>
    </row>
    <row r="152" spans="1:8" ht="15.75" thickBot="1" x14ac:dyDescent="0.3">
      <c r="A152" s="522"/>
      <c r="B152" s="522"/>
      <c r="C152" s="523"/>
      <c r="D152" s="523"/>
      <c r="E152" s="523"/>
      <c r="F152" s="523"/>
      <c r="G152" s="378"/>
      <c r="H152" s="378"/>
    </row>
    <row r="153" spans="1:8" ht="15.75" thickBot="1" x14ac:dyDescent="0.3">
      <c r="A153" s="726" t="s">
        <v>152</v>
      </c>
      <c r="B153" s="727"/>
      <c r="C153" s="727"/>
      <c r="D153" s="727"/>
      <c r="E153" s="727"/>
      <c r="F153" s="728"/>
      <c r="G153" s="378"/>
      <c r="H153" s="378"/>
    </row>
    <row r="154" spans="1:8" x14ac:dyDescent="0.25">
      <c r="A154" s="522"/>
      <c r="B154" s="522"/>
      <c r="C154" s="523"/>
      <c r="D154" s="542"/>
      <c r="E154" s="542"/>
      <c r="F154" s="542"/>
      <c r="G154" s="378"/>
      <c r="H154" s="378"/>
    </row>
    <row r="155" spans="1:8" x14ac:dyDescent="0.25">
      <c r="A155" s="524" t="s">
        <v>222</v>
      </c>
      <c r="B155" s="524" t="s">
        <v>181</v>
      </c>
      <c r="C155" s="525"/>
      <c r="D155" s="526"/>
      <c r="E155" s="526">
        <f>SUM(D156)</f>
        <v>80000</v>
      </c>
      <c r="F155" s="528"/>
      <c r="G155" s="378"/>
      <c r="H155" s="378"/>
    </row>
    <row r="156" spans="1:8" x14ac:dyDescent="0.25">
      <c r="A156" s="527"/>
      <c r="B156" s="527" t="s">
        <v>153</v>
      </c>
      <c r="C156" s="529"/>
      <c r="D156" s="528">
        <v>80000</v>
      </c>
      <c r="E156" s="528"/>
      <c r="F156" s="528"/>
      <c r="G156" s="378"/>
      <c r="H156" s="378"/>
    </row>
    <row r="157" spans="1:8" x14ac:dyDescent="0.25">
      <c r="A157" s="530" t="s">
        <v>879</v>
      </c>
      <c r="B157" s="535"/>
      <c r="C157" s="538"/>
      <c r="D157" s="544"/>
      <c r="E157" s="544"/>
      <c r="F157" s="532">
        <f>SUM(E155:E156)</f>
        <v>80000</v>
      </c>
      <c r="G157" s="378"/>
      <c r="H157" s="378"/>
    </row>
    <row r="158" spans="1:8" x14ac:dyDescent="0.25">
      <c r="A158" s="524" t="s">
        <v>228</v>
      </c>
      <c r="B158" s="524" t="s">
        <v>1324</v>
      </c>
      <c r="C158" s="525"/>
      <c r="D158" s="526"/>
      <c r="E158" s="526">
        <f>SUM(D159:D160)</f>
        <v>22400</v>
      </c>
      <c r="F158" s="528"/>
      <c r="G158" s="378"/>
      <c r="H158" s="378"/>
    </row>
    <row r="159" spans="1:8" x14ac:dyDescent="0.25">
      <c r="A159" s="527"/>
      <c r="B159" s="527" t="s">
        <v>937</v>
      </c>
      <c r="C159" s="529"/>
      <c r="D159" s="528">
        <f>SUM(D156*0.13)</f>
        <v>10400</v>
      </c>
      <c r="E159" s="528"/>
      <c r="F159" s="528"/>
      <c r="G159" s="378"/>
      <c r="H159" s="378"/>
    </row>
    <row r="160" spans="1:8" x14ac:dyDescent="0.25">
      <c r="A160" s="527"/>
      <c r="B160" s="527" t="s">
        <v>938</v>
      </c>
      <c r="C160" s="529"/>
      <c r="D160" s="528">
        <f>SUM(D156*0.15)</f>
        <v>12000</v>
      </c>
      <c r="E160" s="528"/>
      <c r="F160" s="528"/>
      <c r="G160" s="378"/>
      <c r="H160" s="378"/>
    </row>
    <row r="161" spans="1:8" x14ac:dyDescent="0.25">
      <c r="A161" s="530" t="s">
        <v>885</v>
      </c>
      <c r="B161" s="535"/>
      <c r="C161" s="538"/>
      <c r="D161" s="544"/>
      <c r="E161" s="544"/>
      <c r="F161" s="533">
        <f>SUM(E158:E160)</f>
        <v>22400</v>
      </c>
      <c r="G161" s="378"/>
      <c r="H161" s="378"/>
    </row>
    <row r="162" spans="1:8" x14ac:dyDescent="0.25">
      <c r="A162" s="524" t="s">
        <v>230</v>
      </c>
      <c r="B162" s="524" t="s">
        <v>891</v>
      </c>
      <c r="C162" s="525"/>
      <c r="D162" s="526"/>
      <c r="E162" s="526">
        <f>SUM(D163:D163)</f>
        <v>20000</v>
      </c>
      <c r="F162" s="542"/>
      <c r="G162" s="378"/>
      <c r="H162" s="378"/>
    </row>
    <row r="163" spans="1:8" x14ac:dyDescent="0.25">
      <c r="A163" s="527"/>
      <c r="B163" s="527" t="s">
        <v>969</v>
      </c>
      <c r="C163" s="529"/>
      <c r="D163" s="528">
        <v>20000</v>
      </c>
      <c r="E163" s="528"/>
      <c r="F163" s="542"/>
      <c r="G163" s="378"/>
      <c r="H163" s="378"/>
    </row>
    <row r="164" spans="1:8" x14ac:dyDescent="0.25">
      <c r="A164" s="524" t="s">
        <v>247</v>
      </c>
      <c r="B164" s="524" t="s">
        <v>146</v>
      </c>
      <c r="C164" s="525"/>
      <c r="D164" s="526"/>
      <c r="E164" s="526">
        <f>SUM(D165:D165)</f>
        <v>50000</v>
      </c>
      <c r="F164" s="542"/>
      <c r="G164" s="378"/>
      <c r="H164" s="378"/>
    </row>
    <row r="165" spans="1:8" x14ac:dyDescent="0.25">
      <c r="A165" s="527"/>
      <c r="B165" s="527" t="s">
        <v>970</v>
      </c>
      <c r="C165" s="529"/>
      <c r="D165" s="528">
        <v>50000</v>
      </c>
      <c r="E165" s="528"/>
      <c r="F165" s="542"/>
      <c r="G165" s="378"/>
      <c r="H165" s="378"/>
    </row>
    <row r="166" spans="1:8" x14ac:dyDescent="0.25">
      <c r="A166" s="524" t="s">
        <v>252</v>
      </c>
      <c r="B166" s="524" t="s">
        <v>971</v>
      </c>
      <c r="C166" s="525"/>
      <c r="D166" s="526"/>
      <c r="E166" s="526">
        <f>SUM(D167)</f>
        <v>5000</v>
      </c>
      <c r="F166" s="526"/>
      <c r="G166" s="378"/>
      <c r="H166" s="378"/>
    </row>
    <row r="167" spans="1:8" x14ac:dyDescent="0.25">
      <c r="A167" s="527"/>
      <c r="B167" s="527" t="s">
        <v>972</v>
      </c>
      <c r="C167" s="529"/>
      <c r="D167" s="528">
        <v>5000</v>
      </c>
      <c r="E167" s="528"/>
      <c r="F167" s="528"/>
      <c r="G167" s="378"/>
      <c r="H167" s="378"/>
    </row>
    <row r="168" spans="1:8" x14ac:dyDescent="0.25">
      <c r="A168" s="524" t="s">
        <v>255</v>
      </c>
      <c r="B168" s="524" t="s">
        <v>888</v>
      </c>
      <c r="C168" s="525"/>
      <c r="D168" s="526"/>
      <c r="E168" s="526">
        <v>20000</v>
      </c>
      <c r="F168" s="528"/>
      <c r="G168" s="378"/>
      <c r="H168" s="378"/>
    </row>
    <row r="169" spans="1:8" ht="15.75" thickBot="1" x14ac:dyDescent="0.3">
      <c r="A169" s="530" t="s">
        <v>889</v>
      </c>
      <c r="B169" s="535"/>
      <c r="C169" s="538"/>
      <c r="D169" s="544"/>
      <c r="E169" s="544"/>
      <c r="F169" s="533">
        <f>SUM(E162:E168)</f>
        <v>95000</v>
      </c>
      <c r="G169" s="378"/>
      <c r="H169" s="378"/>
    </row>
    <row r="170" spans="1:8" ht="15.75" thickBot="1" x14ac:dyDescent="0.3">
      <c r="A170" s="724" t="s">
        <v>1342</v>
      </c>
      <c r="B170" s="724"/>
      <c r="C170" s="523"/>
      <c r="D170" s="542"/>
      <c r="E170" s="542"/>
      <c r="F170" s="539">
        <f>SUM(F157:F169)</f>
        <v>197400</v>
      </c>
      <c r="G170" s="378"/>
      <c r="H170" s="378"/>
    </row>
    <row r="171" spans="1:8" x14ac:dyDescent="0.25">
      <c r="A171" s="522"/>
      <c r="B171" s="522"/>
      <c r="C171" s="523"/>
      <c r="D171" s="523"/>
      <c r="E171" s="523"/>
      <c r="F171" s="523"/>
      <c r="G171" s="378"/>
      <c r="H171" s="378"/>
    </row>
    <row r="172" spans="1:8" ht="15.75" thickBot="1" x14ac:dyDescent="0.3">
      <c r="A172" s="522"/>
      <c r="B172" s="522"/>
      <c r="C172" s="523"/>
      <c r="D172" s="523"/>
      <c r="E172" s="523"/>
      <c r="F172" s="523"/>
      <c r="G172" s="378"/>
      <c r="H172" s="378"/>
    </row>
    <row r="173" spans="1:8" ht="15.75" thickBot="1" x14ac:dyDescent="0.3">
      <c r="A173" s="726" t="s">
        <v>973</v>
      </c>
      <c r="B173" s="727"/>
      <c r="C173" s="727"/>
      <c r="D173" s="727"/>
      <c r="E173" s="727"/>
      <c r="F173" s="728"/>
      <c r="G173" s="378"/>
      <c r="H173" s="378"/>
    </row>
    <row r="174" spans="1:8" x14ac:dyDescent="0.25">
      <c r="A174" s="527"/>
      <c r="B174" s="527"/>
      <c r="C174" s="529"/>
      <c r="D174" s="528"/>
      <c r="E174" s="528"/>
      <c r="F174" s="528"/>
      <c r="G174" s="378"/>
      <c r="H174" s="378"/>
    </row>
    <row r="175" spans="1:8" x14ac:dyDescent="0.25">
      <c r="A175" s="524" t="s">
        <v>259</v>
      </c>
      <c r="B175" s="524" t="s">
        <v>954</v>
      </c>
      <c r="C175" s="529"/>
      <c r="D175" s="528"/>
      <c r="E175" s="526">
        <f>SUM(D176)</f>
        <v>0</v>
      </c>
      <c r="F175" s="528"/>
      <c r="G175" s="378"/>
      <c r="H175" s="378"/>
    </row>
    <row r="176" spans="1:8" x14ac:dyDescent="0.25">
      <c r="A176" s="527"/>
      <c r="B176" s="527" t="s">
        <v>974</v>
      </c>
      <c r="C176" s="529"/>
      <c r="D176" s="528">
        <v>0</v>
      </c>
      <c r="E176" s="528"/>
      <c r="F176" s="528"/>
      <c r="G176" s="378"/>
      <c r="H176" s="378"/>
    </row>
    <row r="177" spans="1:8" x14ac:dyDescent="0.25">
      <c r="A177" s="530" t="s">
        <v>889</v>
      </c>
      <c r="B177" s="535"/>
      <c r="C177" s="538"/>
      <c r="D177" s="544"/>
      <c r="E177" s="544"/>
      <c r="F177" s="533">
        <f>SUM(E175:E176)</f>
        <v>0</v>
      </c>
      <c r="G177" s="378"/>
      <c r="H177" s="378"/>
    </row>
    <row r="178" spans="1:8" x14ac:dyDescent="0.25">
      <c r="A178" s="535" t="s">
        <v>286</v>
      </c>
      <c r="B178" s="535" t="s">
        <v>1242</v>
      </c>
      <c r="C178" s="538"/>
      <c r="D178" s="544"/>
      <c r="E178" s="544">
        <v>0</v>
      </c>
      <c r="F178" s="544"/>
      <c r="G178" s="378"/>
      <c r="H178" s="378"/>
    </row>
    <row r="179" spans="1:8" x14ac:dyDescent="0.25">
      <c r="A179" s="535"/>
      <c r="B179" s="535" t="s">
        <v>1436</v>
      </c>
      <c r="C179" s="538"/>
      <c r="D179" s="544"/>
      <c r="E179" s="544">
        <v>6392468</v>
      </c>
      <c r="F179" s="544"/>
      <c r="G179" s="378"/>
      <c r="H179" s="378"/>
    </row>
    <row r="180" spans="1:8" x14ac:dyDescent="0.25">
      <c r="A180" s="535"/>
      <c r="B180" s="535" t="s">
        <v>1243</v>
      </c>
      <c r="C180" s="538"/>
      <c r="D180" s="544"/>
      <c r="E180" s="544">
        <v>0</v>
      </c>
      <c r="F180" s="544"/>
      <c r="G180" s="378"/>
      <c r="H180" s="378"/>
    </row>
    <row r="181" spans="1:8" x14ac:dyDescent="0.25">
      <c r="A181" s="530" t="s">
        <v>986</v>
      </c>
      <c r="B181" s="535"/>
      <c r="C181" s="538"/>
      <c r="D181" s="544"/>
      <c r="E181" s="544"/>
      <c r="F181" s="533">
        <f>SUM(E178:E180)</f>
        <v>6392468</v>
      </c>
      <c r="G181" s="378"/>
      <c r="H181" s="378"/>
    </row>
    <row r="182" spans="1:8" x14ac:dyDescent="0.25">
      <c r="A182" s="535" t="s">
        <v>375</v>
      </c>
      <c r="B182" s="535" t="s">
        <v>1241</v>
      </c>
      <c r="C182" s="538"/>
      <c r="D182" s="544">
        <v>3504664</v>
      </c>
      <c r="E182" s="544">
        <f>SUM(D182)</f>
        <v>3504664</v>
      </c>
      <c r="F182" s="544"/>
      <c r="G182" s="378"/>
      <c r="H182" s="378"/>
    </row>
    <row r="183" spans="1:8" ht="15.75" thickBot="1" x14ac:dyDescent="0.3">
      <c r="A183" s="530" t="s">
        <v>989</v>
      </c>
      <c r="B183" s="535"/>
      <c r="C183" s="538"/>
      <c r="D183" s="544"/>
      <c r="E183" s="544"/>
      <c r="F183" s="533">
        <f>SUM(E182)</f>
        <v>3504664</v>
      </c>
      <c r="G183" s="378"/>
      <c r="H183" s="378"/>
    </row>
    <row r="184" spans="1:8" ht="15.75" thickBot="1" x14ac:dyDescent="0.3">
      <c r="A184" s="724" t="s">
        <v>1342</v>
      </c>
      <c r="B184" s="724"/>
      <c r="C184" s="523"/>
      <c r="D184" s="542"/>
      <c r="E184" s="542"/>
      <c r="F184" s="539">
        <f>SUM(F177:F183)</f>
        <v>9897132</v>
      </c>
      <c r="G184" s="378"/>
      <c r="H184" s="378"/>
    </row>
    <row r="185" spans="1:8" x14ac:dyDescent="0.25">
      <c r="A185" s="522"/>
      <c r="B185" s="522"/>
      <c r="C185" s="523"/>
      <c r="D185" s="542"/>
      <c r="E185" s="542"/>
      <c r="F185" s="542"/>
      <c r="G185" s="378"/>
      <c r="H185" s="378"/>
    </row>
    <row r="186" spans="1:8" ht="15.75" thickBot="1" x14ac:dyDescent="0.3">
      <c r="A186" s="522"/>
      <c r="B186" s="522"/>
      <c r="C186" s="523"/>
      <c r="D186" s="523"/>
      <c r="E186" s="523"/>
      <c r="F186" s="523"/>
      <c r="G186" s="378"/>
      <c r="H186" s="378"/>
    </row>
    <row r="187" spans="1:8" ht="15.75" thickBot="1" x14ac:dyDescent="0.3">
      <c r="A187" s="726" t="s">
        <v>975</v>
      </c>
      <c r="B187" s="727"/>
      <c r="C187" s="727"/>
      <c r="D187" s="727"/>
      <c r="E187" s="727"/>
      <c r="F187" s="728"/>
      <c r="G187" s="378"/>
      <c r="H187" s="378"/>
    </row>
    <row r="188" spans="1:8" x14ac:dyDescent="0.25">
      <c r="A188" s="606"/>
      <c r="B188" s="606"/>
      <c r="C188" s="606"/>
      <c r="D188" s="606"/>
      <c r="E188" s="606"/>
      <c r="F188" s="606"/>
      <c r="G188" s="378"/>
      <c r="H188" s="378"/>
    </row>
    <row r="189" spans="1:8" x14ac:dyDescent="0.25">
      <c r="A189" s="524" t="s">
        <v>294</v>
      </c>
      <c r="B189" s="524" t="s">
        <v>976</v>
      </c>
      <c r="C189" s="525"/>
      <c r="D189" s="526"/>
      <c r="E189" s="526">
        <f>SUM(D190:D192)</f>
        <v>3738000</v>
      </c>
      <c r="F189" s="526"/>
      <c r="G189" s="378"/>
      <c r="H189" s="378"/>
    </row>
    <row r="190" spans="1:8" x14ac:dyDescent="0.25">
      <c r="A190" s="527"/>
      <c r="B190" s="527" t="s">
        <v>977</v>
      </c>
      <c r="C190" s="529"/>
      <c r="D190" s="528">
        <v>300000</v>
      </c>
      <c r="E190" s="528"/>
      <c r="F190" s="528"/>
      <c r="G190" s="378"/>
      <c r="H190" s="378"/>
    </row>
    <row r="191" spans="1:8" x14ac:dyDescent="0.25">
      <c r="A191" s="527"/>
      <c r="B191" s="527" t="s">
        <v>978</v>
      </c>
      <c r="C191" s="529"/>
      <c r="D191" s="528">
        <v>312000</v>
      </c>
      <c r="E191" s="528"/>
      <c r="F191" s="528"/>
      <c r="G191" s="378"/>
      <c r="H191" s="378"/>
    </row>
    <row r="192" spans="1:8" x14ac:dyDescent="0.25">
      <c r="A192" s="527"/>
      <c r="B192" s="527" t="s">
        <v>979</v>
      </c>
      <c r="C192" s="529"/>
      <c r="D192" s="528">
        <v>3126000</v>
      </c>
      <c r="E192" s="528"/>
      <c r="F192" s="528"/>
      <c r="G192" s="378"/>
      <c r="H192" s="378"/>
    </row>
    <row r="193" spans="1:8" x14ac:dyDescent="0.25">
      <c r="A193" s="524" t="s">
        <v>298</v>
      </c>
      <c r="B193" s="524" t="s">
        <v>980</v>
      </c>
      <c r="C193" s="525"/>
      <c r="D193" s="526"/>
      <c r="E193" s="526">
        <f>SUM(D194)</f>
        <v>0</v>
      </c>
      <c r="F193" s="528"/>
      <c r="G193" s="378"/>
      <c r="H193" s="378"/>
    </row>
    <row r="194" spans="1:8" x14ac:dyDescent="0.25">
      <c r="A194" s="527"/>
      <c r="B194" s="527">
        <v>0</v>
      </c>
      <c r="C194" s="529"/>
      <c r="D194" s="528">
        <v>0</v>
      </c>
      <c r="E194" s="528"/>
      <c r="F194" s="528"/>
      <c r="G194" s="378"/>
      <c r="H194" s="378"/>
    </row>
    <row r="195" spans="1:8" x14ac:dyDescent="0.25">
      <c r="A195" s="524" t="s">
        <v>306</v>
      </c>
      <c r="B195" s="524" t="s">
        <v>981</v>
      </c>
      <c r="C195" s="525"/>
      <c r="D195" s="526"/>
      <c r="E195" s="526">
        <f>SUM(D197:D198)</f>
        <v>68000</v>
      </c>
      <c r="F195" s="528"/>
      <c r="G195" s="378"/>
      <c r="H195" s="378"/>
    </row>
    <row r="196" spans="1:8" x14ac:dyDescent="0.25">
      <c r="A196" s="527"/>
      <c r="B196" s="524" t="s">
        <v>982</v>
      </c>
      <c r="C196" s="529"/>
      <c r="D196" s="528"/>
      <c r="E196" s="528"/>
      <c r="F196" s="528"/>
      <c r="G196" s="378"/>
      <c r="H196" s="378"/>
    </row>
    <row r="197" spans="1:8" x14ac:dyDescent="0.25">
      <c r="A197" s="527"/>
      <c r="B197" s="527" t="s">
        <v>983</v>
      </c>
      <c r="C197" s="529"/>
      <c r="D197" s="528">
        <v>68000</v>
      </c>
      <c r="E197" s="528"/>
      <c r="F197" s="528"/>
      <c r="G197" s="378"/>
      <c r="H197" s="378"/>
    </row>
    <row r="198" spans="1:8" x14ac:dyDescent="0.25">
      <c r="A198" s="527"/>
      <c r="B198" s="527" t="s">
        <v>984</v>
      </c>
      <c r="C198" s="529"/>
      <c r="D198" s="528">
        <v>0</v>
      </c>
      <c r="E198" s="528"/>
      <c r="F198" s="528"/>
      <c r="G198" s="378"/>
      <c r="H198" s="378"/>
    </row>
    <row r="199" spans="1:8" x14ac:dyDescent="0.25">
      <c r="A199" s="524" t="s">
        <v>598</v>
      </c>
      <c r="B199" s="524" t="s">
        <v>985</v>
      </c>
      <c r="C199" s="525"/>
      <c r="D199" s="526"/>
      <c r="E199" s="526">
        <f>SUM(D200)</f>
        <v>243223644</v>
      </c>
      <c r="F199" s="545"/>
      <c r="G199" s="378"/>
      <c r="H199" s="378"/>
    </row>
    <row r="200" spans="1:8" x14ac:dyDescent="0.25">
      <c r="A200" s="527"/>
      <c r="B200" s="527">
        <v>0</v>
      </c>
      <c r="C200" s="529"/>
      <c r="D200" s="545">
        <v>243223644</v>
      </c>
      <c r="E200" s="528"/>
      <c r="F200" s="528"/>
      <c r="G200" s="378"/>
      <c r="H200" s="378"/>
    </row>
    <row r="201" spans="1:8" x14ac:dyDescent="0.25">
      <c r="A201" s="530" t="s">
        <v>986</v>
      </c>
      <c r="B201" s="535"/>
      <c r="C201" s="538"/>
      <c r="D201" s="544"/>
      <c r="E201" s="544"/>
      <c r="F201" s="533">
        <f>SUM(E189:E200)</f>
        <v>247029644</v>
      </c>
      <c r="G201" s="378"/>
      <c r="H201" s="378"/>
    </row>
    <row r="202" spans="1:8" x14ac:dyDescent="0.25">
      <c r="A202" s="524" t="s">
        <v>987</v>
      </c>
      <c r="B202" s="524" t="s">
        <v>988</v>
      </c>
      <c r="C202" s="525"/>
      <c r="D202" s="526"/>
      <c r="E202" s="526">
        <f>SUM(D203:D204)</f>
        <v>79475225.599999994</v>
      </c>
      <c r="F202" s="528"/>
      <c r="G202" s="378"/>
      <c r="H202" s="378"/>
    </row>
    <row r="203" spans="1:8" x14ac:dyDescent="0.25">
      <c r="A203" s="524"/>
      <c r="B203" s="527" t="s">
        <v>1335</v>
      </c>
      <c r="C203" s="529"/>
      <c r="D203" s="528">
        <f>SUM('KÖH bevétel'!D13)</f>
        <v>63343280</v>
      </c>
      <c r="E203" s="526"/>
      <c r="F203" s="528"/>
      <c r="G203" s="378"/>
      <c r="H203" s="378"/>
    </row>
    <row r="204" spans="1:8" x14ac:dyDescent="0.25">
      <c r="A204" s="524"/>
      <c r="B204" s="527" t="s">
        <v>830</v>
      </c>
      <c r="C204" s="528">
        <f>SUM('KÖH kiadás'!C85-'KÖH kiadás'!O83)</f>
        <v>-121356.55557934172</v>
      </c>
      <c r="D204" s="528">
        <f>SUM(C204:C207)</f>
        <v>16131945.600000001</v>
      </c>
      <c r="E204" s="526"/>
      <c r="F204" s="528"/>
      <c r="G204" s="378"/>
      <c r="H204" s="378"/>
    </row>
    <row r="205" spans="1:8" x14ac:dyDescent="0.25">
      <c r="A205" s="524"/>
      <c r="B205" s="527" t="s">
        <v>1332</v>
      </c>
      <c r="C205" s="528">
        <f>SUM('ÖNK bevétel cofogra'!D88)</f>
        <v>2758361.4423334221</v>
      </c>
      <c r="D205" s="528"/>
      <c r="E205" s="526"/>
      <c r="F205" s="528"/>
      <c r="G205" s="378"/>
      <c r="H205" s="378"/>
    </row>
    <row r="206" spans="1:8" x14ac:dyDescent="0.25">
      <c r="A206" s="524"/>
      <c r="B206" s="527" t="s">
        <v>1333</v>
      </c>
      <c r="C206" s="528">
        <f>SUM('ÖNK bevétel cofogra'!D89)</f>
        <v>1418001.9045223454</v>
      </c>
      <c r="D206" s="528"/>
      <c r="E206" s="526"/>
      <c r="F206" s="528"/>
      <c r="G206" s="378"/>
      <c r="H206" s="378"/>
    </row>
    <row r="207" spans="1:8" x14ac:dyDescent="0.25">
      <c r="A207" s="524"/>
      <c r="B207" s="527" t="s">
        <v>1334</v>
      </c>
      <c r="C207" s="528">
        <f>SUM('ÖNK bevétel cofogra'!D90)</f>
        <v>12076938.808723575</v>
      </c>
      <c r="D207" s="528"/>
      <c r="E207" s="526"/>
      <c r="F207" s="528"/>
      <c r="G207" s="378"/>
      <c r="H207" s="378"/>
    </row>
    <row r="208" spans="1:8" ht="15.75" thickBot="1" x14ac:dyDescent="0.3">
      <c r="A208" s="530" t="s">
        <v>989</v>
      </c>
      <c r="B208" s="535"/>
      <c r="C208" s="538"/>
      <c r="D208" s="544"/>
      <c r="E208" s="544"/>
      <c r="F208" s="533">
        <f>SUM(E202:E203)</f>
        <v>79475225.599999994</v>
      </c>
      <c r="G208" s="378"/>
      <c r="H208" s="378"/>
    </row>
    <row r="209" spans="1:8" ht="15.75" thickBot="1" x14ac:dyDescent="0.3">
      <c r="A209" s="724" t="s">
        <v>1359</v>
      </c>
      <c r="B209" s="724"/>
      <c r="C209" s="523"/>
      <c r="D209" s="542"/>
      <c r="E209" s="542"/>
      <c r="F209" s="539">
        <f>SUM(F201:F208)</f>
        <v>326504869.60000002</v>
      </c>
      <c r="G209" s="378"/>
      <c r="H209" s="378"/>
    </row>
    <row r="210" spans="1:8" x14ac:dyDescent="0.25">
      <c r="A210" s="522"/>
      <c r="B210" s="522"/>
      <c r="C210" s="523"/>
      <c r="D210" s="542"/>
      <c r="E210" s="542"/>
      <c r="F210" s="542"/>
      <c r="G210" s="378"/>
      <c r="H210" s="378"/>
    </row>
    <row r="211" spans="1:8" ht="15.75" thickBot="1" x14ac:dyDescent="0.3">
      <c r="A211" s="522"/>
      <c r="B211" s="522"/>
      <c r="C211" s="523"/>
      <c r="D211" s="523"/>
      <c r="E211" s="523"/>
      <c r="F211" s="523"/>
      <c r="G211" s="378"/>
      <c r="H211" s="378"/>
    </row>
    <row r="212" spans="1:8" ht="15.75" thickBot="1" x14ac:dyDescent="0.3">
      <c r="A212" s="744" t="s">
        <v>162</v>
      </c>
      <c r="B212" s="745"/>
      <c r="C212" s="745"/>
      <c r="D212" s="745"/>
      <c r="E212" s="745"/>
      <c r="F212" s="746"/>
      <c r="G212" s="378"/>
      <c r="H212" s="378"/>
    </row>
    <row r="213" spans="1:8" x14ac:dyDescent="0.25">
      <c r="A213" s="522"/>
      <c r="B213" s="522"/>
      <c r="C213" s="523"/>
      <c r="D213" s="523"/>
      <c r="E213" s="523"/>
      <c r="F213" s="523"/>
      <c r="G213" s="378"/>
      <c r="H213" s="378"/>
    </row>
    <row r="214" spans="1:8" x14ac:dyDescent="0.25">
      <c r="A214" s="524" t="s">
        <v>195</v>
      </c>
      <c r="B214" s="524" t="s">
        <v>877</v>
      </c>
      <c r="C214" s="528"/>
      <c r="D214" s="528"/>
      <c r="E214" s="526">
        <f>SUM(D215:D218)</f>
        <v>2370000</v>
      </c>
      <c r="F214" s="528"/>
      <c r="G214" s="378"/>
      <c r="H214" s="378"/>
    </row>
    <row r="215" spans="1:8" x14ac:dyDescent="0.25">
      <c r="A215" s="524"/>
      <c r="B215" s="527" t="s">
        <v>855</v>
      </c>
      <c r="C215" s="528">
        <v>85000</v>
      </c>
      <c r="D215" s="528">
        <f>SUM(C215*1)</f>
        <v>85000</v>
      </c>
      <c r="E215" s="526"/>
      <c r="F215" s="528"/>
      <c r="G215" s="378"/>
      <c r="H215" s="378"/>
    </row>
    <row r="216" spans="1:8" x14ac:dyDescent="0.25">
      <c r="A216" s="524"/>
      <c r="B216" s="527"/>
      <c r="C216" s="528">
        <v>100000</v>
      </c>
      <c r="D216" s="528">
        <f>SUM(C216*11)</f>
        <v>1100000</v>
      </c>
      <c r="E216" s="526"/>
      <c r="F216" s="528"/>
      <c r="G216" s="378"/>
      <c r="H216" s="378"/>
    </row>
    <row r="217" spans="1:8" x14ac:dyDescent="0.25">
      <c r="A217" s="527"/>
      <c r="B217" s="527" t="s">
        <v>1336</v>
      </c>
      <c r="C217" s="528">
        <v>85000</v>
      </c>
      <c r="D217" s="528">
        <f>SUM(C217*1)</f>
        <v>85000</v>
      </c>
      <c r="E217" s="528"/>
      <c r="F217" s="528"/>
      <c r="G217" s="378"/>
      <c r="H217" s="378"/>
    </row>
    <row r="218" spans="1:8" x14ac:dyDescent="0.25">
      <c r="A218" s="530" t="s">
        <v>879</v>
      </c>
      <c r="B218" s="535"/>
      <c r="C218" s="597">
        <v>100000</v>
      </c>
      <c r="D218" s="597">
        <f>SUM(C218*11)</f>
        <v>1100000</v>
      </c>
      <c r="E218" s="544"/>
      <c r="F218" s="532">
        <f>SUM(E214:E217)</f>
        <v>2370000</v>
      </c>
      <c r="G218" s="378"/>
      <c r="H218" s="378"/>
    </row>
    <row r="219" spans="1:8" x14ac:dyDescent="0.25">
      <c r="A219" s="524" t="s">
        <v>228</v>
      </c>
      <c r="B219" s="524" t="s">
        <v>1337</v>
      </c>
      <c r="C219" s="525"/>
      <c r="D219" s="526"/>
      <c r="E219" s="526">
        <f>SUM(D220:D221)</f>
        <v>312350</v>
      </c>
      <c r="F219" s="528"/>
      <c r="G219" s="378"/>
      <c r="H219" s="378"/>
    </row>
    <row r="220" spans="1:8" x14ac:dyDescent="0.25">
      <c r="A220" s="527"/>
      <c r="B220" s="527" t="s">
        <v>1360</v>
      </c>
      <c r="C220" s="528">
        <f>SUM(D215+D217)</f>
        <v>170000</v>
      </c>
      <c r="D220" s="528">
        <f>SUM(C220*0.155)</f>
        <v>26350</v>
      </c>
      <c r="E220" s="528"/>
      <c r="F220" s="528"/>
      <c r="G220" s="378"/>
      <c r="H220" s="378"/>
    </row>
    <row r="221" spans="1:8" x14ac:dyDescent="0.25">
      <c r="A221" s="527"/>
      <c r="B221" s="527" t="s">
        <v>1361</v>
      </c>
      <c r="C221" s="528">
        <f>SUM(D216+D218)</f>
        <v>2200000</v>
      </c>
      <c r="D221" s="528">
        <f>SUM(C221*0.13)</f>
        <v>286000</v>
      </c>
      <c r="E221" s="528"/>
      <c r="F221" s="528"/>
      <c r="G221" s="378"/>
      <c r="H221" s="378"/>
    </row>
    <row r="222" spans="1:8" x14ac:dyDescent="0.25">
      <c r="A222" s="530" t="s">
        <v>885</v>
      </c>
      <c r="B222" s="535"/>
      <c r="C222" s="538"/>
      <c r="D222" s="544"/>
      <c r="E222" s="544"/>
      <c r="F222" s="533">
        <f>SUM(E219:E220)</f>
        <v>312350</v>
      </c>
      <c r="G222" s="378"/>
      <c r="H222" s="378"/>
    </row>
    <row r="223" spans="1:8" x14ac:dyDescent="0.25">
      <c r="A223" s="524" t="s">
        <v>230</v>
      </c>
      <c r="B223" s="524" t="s">
        <v>891</v>
      </c>
      <c r="C223" s="525"/>
      <c r="D223" s="526"/>
      <c r="E223" s="526">
        <v>50000</v>
      </c>
      <c r="F223" s="542"/>
      <c r="G223" s="378"/>
      <c r="H223" s="378"/>
    </row>
    <row r="224" spans="1:8" x14ac:dyDescent="0.25">
      <c r="A224" s="524" t="s">
        <v>247</v>
      </c>
      <c r="B224" s="524" t="s">
        <v>146</v>
      </c>
      <c r="C224" s="525"/>
      <c r="D224" s="526"/>
      <c r="E224" s="526">
        <f>SUM(D225)</f>
        <v>14000</v>
      </c>
      <c r="F224" s="542"/>
      <c r="G224" s="378"/>
      <c r="H224" s="378"/>
    </row>
    <row r="225" spans="1:8" x14ac:dyDescent="0.25">
      <c r="A225" s="524"/>
      <c r="B225" s="527" t="s">
        <v>990</v>
      </c>
      <c r="C225" s="528">
        <v>7000</v>
      </c>
      <c r="D225" s="528">
        <f>SUM(C225*2)</f>
        <v>14000</v>
      </c>
      <c r="E225" s="526"/>
      <c r="F225" s="542"/>
      <c r="G225" s="378"/>
      <c r="H225" s="378"/>
    </row>
    <row r="226" spans="1:8" x14ac:dyDescent="0.25">
      <c r="A226" s="524" t="s">
        <v>255</v>
      </c>
      <c r="B226" s="524" t="s">
        <v>888</v>
      </c>
      <c r="C226" s="525"/>
      <c r="D226" s="526"/>
      <c r="E226" s="526">
        <v>13500</v>
      </c>
      <c r="F226" s="542"/>
      <c r="G226" s="378"/>
      <c r="H226" s="378"/>
    </row>
    <row r="227" spans="1:8" x14ac:dyDescent="0.25">
      <c r="A227" s="524" t="s">
        <v>262</v>
      </c>
      <c r="B227" s="524" t="s">
        <v>175</v>
      </c>
      <c r="C227" s="529"/>
      <c r="D227" s="528"/>
      <c r="E227" s="526">
        <f>SUM(D228)</f>
        <v>1000</v>
      </c>
      <c r="F227" s="528"/>
      <c r="G227" s="378"/>
      <c r="H227" s="378"/>
    </row>
    <row r="228" spans="1:8" x14ac:dyDescent="0.25">
      <c r="A228" s="527"/>
      <c r="B228" s="527" t="s">
        <v>991</v>
      </c>
      <c r="C228" s="529"/>
      <c r="D228" s="528">
        <v>1000</v>
      </c>
      <c r="E228" s="528"/>
      <c r="F228" s="528"/>
      <c r="G228" s="378"/>
      <c r="H228" s="378"/>
    </row>
    <row r="229" spans="1:8" ht="15.75" thickBot="1" x14ac:dyDescent="0.3">
      <c r="A229" s="530" t="s">
        <v>889</v>
      </c>
      <c r="B229" s="535"/>
      <c r="C229" s="538"/>
      <c r="D229" s="544"/>
      <c r="E229" s="544"/>
      <c r="F229" s="533">
        <f>SUM(E223:E228)</f>
        <v>78500</v>
      </c>
      <c r="G229" s="378"/>
      <c r="H229" s="378"/>
    </row>
    <row r="230" spans="1:8" ht="15.75" thickBot="1" x14ac:dyDescent="0.3">
      <c r="A230" s="724" t="s">
        <v>1342</v>
      </c>
      <c r="B230" s="724"/>
      <c r="C230" s="523"/>
      <c r="D230" s="542"/>
      <c r="E230" s="542"/>
      <c r="F230" s="539">
        <f>SUM(F218:F229)</f>
        <v>2760850</v>
      </c>
      <c r="G230" s="378"/>
      <c r="H230" s="378"/>
    </row>
    <row r="231" spans="1:8" x14ac:dyDescent="0.25">
      <c r="A231" s="522"/>
      <c r="B231" s="522"/>
      <c r="C231" s="523"/>
      <c r="D231" s="523"/>
      <c r="E231" s="523"/>
      <c r="F231" s="523"/>
      <c r="G231" s="378"/>
      <c r="H231" s="378"/>
    </row>
    <row r="232" spans="1:8" ht="15.75" thickBot="1" x14ac:dyDescent="0.3">
      <c r="A232" s="522"/>
      <c r="B232" s="522"/>
      <c r="C232" s="523"/>
      <c r="D232" s="523"/>
      <c r="E232" s="523"/>
      <c r="F232" s="523"/>
      <c r="G232" s="378"/>
      <c r="H232" s="378"/>
    </row>
    <row r="233" spans="1:8" ht="15.75" thickBot="1" x14ac:dyDescent="0.3">
      <c r="A233" s="744" t="s">
        <v>992</v>
      </c>
      <c r="B233" s="745"/>
      <c r="C233" s="745"/>
      <c r="D233" s="745"/>
      <c r="E233" s="745"/>
      <c r="F233" s="746"/>
      <c r="G233" s="378"/>
      <c r="H233" s="378"/>
    </row>
    <row r="234" spans="1:8" x14ac:dyDescent="0.25">
      <c r="A234" s="608"/>
      <c r="B234" s="608"/>
      <c r="C234" s="608"/>
      <c r="D234" s="608"/>
      <c r="E234" s="608"/>
      <c r="F234" s="608"/>
      <c r="G234" s="378"/>
      <c r="H234" s="378"/>
    </row>
    <row r="235" spans="1:8" x14ac:dyDescent="0.25">
      <c r="A235" s="524" t="s">
        <v>230</v>
      </c>
      <c r="B235" s="524" t="s">
        <v>891</v>
      </c>
      <c r="C235" s="525"/>
      <c r="D235" s="526"/>
      <c r="E235" s="526">
        <f>SUM(D236:D236)</f>
        <v>20000</v>
      </c>
      <c r="F235" s="542"/>
      <c r="G235" s="378"/>
      <c r="H235" s="378"/>
    </row>
    <row r="236" spans="1:8" x14ac:dyDescent="0.25">
      <c r="A236" s="527"/>
      <c r="B236" s="527"/>
      <c r="C236" s="529"/>
      <c r="D236" s="528">
        <v>20000</v>
      </c>
      <c r="E236" s="528"/>
      <c r="F236" s="542"/>
      <c r="G236" s="378"/>
      <c r="H236" s="378"/>
    </row>
    <row r="237" spans="1:8" x14ac:dyDescent="0.25">
      <c r="A237" s="524" t="s">
        <v>243</v>
      </c>
      <c r="B237" s="524" t="s">
        <v>902</v>
      </c>
      <c r="C237" s="525"/>
      <c r="D237" s="526"/>
      <c r="E237" s="526">
        <f>SUM(D238:D238)</f>
        <v>100000</v>
      </c>
      <c r="F237" s="542"/>
      <c r="G237" s="522"/>
      <c r="H237" s="378"/>
    </row>
    <row r="238" spans="1:8" x14ac:dyDescent="0.25">
      <c r="A238" s="527"/>
      <c r="B238" s="527" t="s">
        <v>993</v>
      </c>
      <c r="C238" s="529"/>
      <c r="D238" s="528">
        <v>100000</v>
      </c>
      <c r="E238" s="528"/>
      <c r="F238" s="542"/>
      <c r="G238" s="522"/>
      <c r="H238" s="378"/>
    </row>
    <row r="239" spans="1:8" x14ac:dyDescent="0.25">
      <c r="A239" s="524" t="s">
        <v>247</v>
      </c>
      <c r="B239" s="524" t="s">
        <v>146</v>
      </c>
      <c r="C239" s="525"/>
      <c r="D239" s="526"/>
      <c r="E239" s="526">
        <f>SUM(D240:D240)</f>
        <v>150000</v>
      </c>
      <c r="F239" s="542"/>
      <c r="G239" s="378"/>
      <c r="H239" s="378"/>
    </row>
    <row r="240" spans="1:8" x14ac:dyDescent="0.25">
      <c r="A240" s="527"/>
      <c r="B240" s="527"/>
      <c r="C240" s="529"/>
      <c r="D240" s="528">
        <v>150000</v>
      </c>
      <c r="E240" s="528"/>
      <c r="F240" s="542"/>
      <c r="G240" s="378"/>
      <c r="H240" s="378"/>
    </row>
    <row r="241" spans="1:8" x14ac:dyDescent="0.25">
      <c r="A241" s="524" t="s">
        <v>255</v>
      </c>
      <c r="B241" s="524" t="s">
        <v>888</v>
      </c>
      <c r="C241" s="525"/>
      <c r="D241" s="526"/>
      <c r="E241" s="526">
        <v>72900</v>
      </c>
      <c r="F241" s="528"/>
      <c r="G241" s="378"/>
      <c r="H241" s="378"/>
    </row>
    <row r="242" spans="1:8" x14ac:dyDescent="0.25">
      <c r="A242" s="530" t="s">
        <v>889</v>
      </c>
      <c r="B242" s="535"/>
      <c r="C242" s="538"/>
      <c r="D242" s="544"/>
      <c r="E242" s="544"/>
      <c r="F242" s="533">
        <f>SUM(E235:E241)</f>
        <v>342900</v>
      </c>
      <c r="G242" s="378"/>
      <c r="H242" s="378"/>
    </row>
    <row r="243" spans="1:8" x14ac:dyDescent="0.25">
      <c r="A243" s="535" t="s">
        <v>325</v>
      </c>
      <c r="B243" s="535" t="s">
        <v>147</v>
      </c>
      <c r="C243" s="538"/>
      <c r="D243" s="544"/>
      <c r="E243" s="544">
        <f>SUM(D244:D245)</f>
        <v>13945003</v>
      </c>
      <c r="F243" s="544"/>
      <c r="G243" s="378"/>
      <c r="H243" s="378"/>
    </row>
    <row r="244" spans="1:8" x14ac:dyDescent="0.25">
      <c r="A244" s="535"/>
      <c r="B244" s="595" t="s">
        <v>1338</v>
      </c>
      <c r="C244" s="596"/>
      <c r="D244" s="597">
        <v>12769678</v>
      </c>
      <c r="E244" s="544"/>
      <c r="F244" s="544"/>
      <c r="G244" s="378"/>
      <c r="H244" s="378"/>
    </row>
    <row r="245" spans="1:8" x14ac:dyDescent="0.25">
      <c r="A245" s="535"/>
      <c r="B245" s="595" t="s">
        <v>1339</v>
      </c>
      <c r="C245" s="596"/>
      <c r="D245" s="597">
        <v>1175325</v>
      </c>
      <c r="E245" s="544"/>
      <c r="F245" s="544"/>
      <c r="G245" s="378"/>
      <c r="H245" s="378"/>
    </row>
    <row r="246" spans="1:8" x14ac:dyDescent="0.25">
      <c r="A246" s="535" t="s">
        <v>330</v>
      </c>
      <c r="B246" s="535" t="s">
        <v>1340</v>
      </c>
      <c r="C246" s="538"/>
      <c r="D246" s="544"/>
      <c r="E246" s="544">
        <f>SUM(D247:D248)</f>
        <v>3765151</v>
      </c>
      <c r="F246" s="544"/>
      <c r="G246" s="378"/>
      <c r="H246" s="378"/>
    </row>
    <row r="247" spans="1:8" x14ac:dyDescent="0.25">
      <c r="A247" s="535"/>
      <c r="B247" s="595" t="s">
        <v>1338</v>
      </c>
      <c r="C247" s="596"/>
      <c r="D247" s="597">
        <v>3447813</v>
      </c>
      <c r="E247" s="544"/>
      <c r="F247" s="544"/>
      <c r="G247" s="378"/>
      <c r="H247" s="378"/>
    </row>
    <row r="248" spans="1:8" x14ac:dyDescent="0.25">
      <c r="A248" s="535"/>
      <c r="B248" s="595" t="s">
        <v>1339</v>
      </c>
      <c r="C248" s="596"/>
      <c r="D248" s="597">
        <v>317338</v>
      </c>
      <c r="E248" s="544"/>
      <c r="F248" s="544"/>
      <c r="G248" s="378"/>
      <c r="H248" s="378"/>
    </row>
    <row r="249" spans="1:8" ht="15.75" thickBot="1" x14ac:dyDescent="0.3">
      <c r="A249" s="530" t="s">
        <v>1341</v>
      </c>
      <c r="B249" s="535"/>
      <c r="C249" s="538"/>
      <c r="D249" s="544"/>
      <c r="E249" s="544"/>
      <c r="F249" s="533">
        <f>SUM(E243:E246)</f>
        <v>17710154</v>
      </c>
      <c r="G249" s="378"/>
      <c r="H249" s="378"/>
    </row>
    <row r="250" spans="1:8" ht="15.75" thickBot="1" x14ac:dyDescent="0.3">
      <c r="A250" s="748" t="s">
        <v>1342</v>
      </c>
      <c r="B250" s="748"/>
      <c r="C250" s="609" t="s">
        <v>1343</v>
      </c>
      <c r="D250" s="558">
        <v>3919020</v>
      </c>
      <c r="E250" s="528"/>
      <c r="F250" s="539">
        <f>SUM(F242:F249)</f>
        <v>18053054</v>
      </c>
      <c r="G250" s="378"/>
      <c r="H250" s="378"/>
    </row>
    <row r="251" spans="1:8" x14ac:dyDescent="0.25">
      <c r="A251" s="522"/>
      <c r="B251" s="522"/>
      <c r="C251" s="523"/>
      <c r="D251" s="542"/>
      <c r="E251" s="542"/>
      <c r="F251" s="542"/>
      <c r="G251" s="378"/>
      <c r="H251" s="378"/>
    </row>
    <row r="252" spans="1:8" ht="15.75" thickBot="1" x14ac:dyDescent="0.3">
      <c r="A252" s="522"/>
      <c r="B252" s="522"/>
      <c r="C252" s="523"/>
      <c r="D252" s="542"/>
      <c r="E252" s="542"/>
      <c r="F252" s="542"/>
      <c r="G252" s="378"/>
      <c r="H252" s="378"/>
    </row>
    <row r="253" spans="1:8" ht="15.75" thickBot="1" x14ac:dyDescent="0.3">
      <c r="A253" s="744" t="s">
        <v>994</v>
      </c>
      <c r="B253" s="745"/>
      <c r="C253" s="745"/>
      <c r="D253" s="745"/>
      <c r="E253" s="745"/>
      <c r="F253" s="746"/>
      <c r="G253" s="378"/>
      <c r="H253" s="378"/>
    </row>
    <row r="254" spans="1:8" x14ac:dyDescent="0.25">
      <c r="A254" s="546"/>
      <c r="B254" s="546"/>
      <c r="C254" s="546"/>
      <c r="D254" s="546"/>
      <c r="E254" s="546"/>
      <c r="F254" s="546"/>
      <c r="G254" s="378"/>
      <c r="H254" s="378"/>
    </row>
    <row r="255" spans="1:8" x14ac:dyDescent="0.25">
      <c r="A255" s="547" t="s">
        <v>216</v>
      </c>
      <c r="B255" s="747" t="s">
        <v>215</v>
      </c>
      <c r="C255" s="747"/>
      <c r="D255" s="546"/>
      <c r="E255" s="548">
        <f>SUM(D256)</f>
        <v>0</v>
      </c>
      <c r="F255" s="549">
        <f>SUM(E255)</f>
        <v>0</v>
      </c>
      <c r="G255" s="378"/>
      <c r="H255" s="378"/>
    </row>
    <row r="256" spans="1:8" x14ac:dyDescent="0.25">
      <c r="A256" s="546"/>
      <c r="B256" s="550">
        <v>0</v>
      </c>
      <c r="C256" s="546"/>
      <c r="D256" s="551">
        <v>0</v>
      </c>
      <c r="E256" s="546"/>
      <c r="F256" s="546"/>
      <c r="G256" s="378"/>
      <c r="H256" s="378"/>
    </row>
    <row r="257" spans="1:8" x14ac:dyDescent="0.25">
      <c r="A257" s="547" t="s">
        <v>228</v>
      </c>
      <c r="B257" s="547" t="s">
        <v>14</v>
      </c>
      <c r="C257" s="546"/>
      <c r="D257" s="546"/>
      <c r="E257" s="548">
        <f>SUM(D258)</f>
        <v>0</v>
      </c>
      <c r="F257" s="549">
        <f>SUM(E257)</f>
        <v>0</v>
      </c>
      <c r="G257" s="378"/>
      <c r="H257" s="378"/>
    </row>
    <row r="258" spans="1:8" x14ac:dyDescent="0.25">
      <c r="A258" s="522"/>
      <c r="B258" s="522"/>
      <c r="C258" s="523"/>
      <c r="D258" s="552">
        <v>0</v>
      </c>
      <c r="E258" s="523"/>
      <c r="F258" s="523"/>
      <c r="G258" s="378"/>
      <c r="H258" s="378"/>
    </row>
    <row r="259" spans="1:8" x14ac:dyDescent="0.25">
      <c r="A259" s="524" t="s">
        <v>230</v>
      </c>
      <c r="B259" s="524" t="s">
        <v>891</v>
      </c>
      <c r="C259" s="525"/>
      <c r="D259" s="526"/>
      <c r="E259" s="526">
        <f>SUM(D260)</f>
        <v>0</v>
      </c>
      <c r="F259" s="542"/>
      <c r="G259" s="378"/>
      <c r="H259" s="378"/>
    </row>
    <row r="260" spans="1:8" x14ac:dyDescent="0.25">
      <c r="A260" s="524"/>
      <c r="B260" s="524"/>
      <c r="C260" s="525"/>
      <c r="D260" s="526">
        <v>0</v>
      </c>
      <c r="E260" s="526"/>
      <c r="F260" s="542"/>
      <c r="G260" s="378"/>
      <c r="H260" s="378"/>
    </row>
    <row r="261" spans="1:8" x14ac:dyDescent="0.25">
      <c r="A261" s="524" t="s">
        <v>242</v>
      </c>
      <c r="B261" s="524" t="s">
        <v>901</v>
      </c>
      <c r="C261" s="525"/>
      <c r="D261" s="526"/>
      <c r="E261" s="526">
        <f>SUM(D262)</f>
        <v>0</v>
      </c>
      <c r="F261" s="542"/>
      <c r="G261" s="378"/>
      <c r="H261" s="378"/>
    </row>
    <row r="262" spans="1:8" x14ac:dyDescent="0.25">
      <c r="A262" s="527"/>
      <c r="B262" s="527">
        <v>0</v>
      </c>
      <c r="C262" s="529"/>
      <c r="D262" s="528">
        <v>0</v>
      </c>
      <c r="E262" s="528"/>
      <c r="F262" s="542"/>
      <c r="G262" s="378"/>
      <c r="H262" s="378"/>
    </row>
    <row r="263" spans="1:8" x14ac:dyDescent="0.25">
      <c r="A263" s="524" t="s">
        <v>243</v>
      </c>
      <c r="B263" s="524" t="s">
        <v>902</v>
      </c>
      <c r="C263" s="525"/>
      <c r="D263" s="526"/>
      <c r="E263" s="526">
        <f>SUM(D264:D264)</f>
        <v>0</v>
      </c>
      <c r="F263" s="542"/>
      <c r="G263" s="378"/>
      <c r="H263" s="378"/>
    </row>
    <row r="264" spans="1:8" x14ac:dyDescent="0.25">
      <c r="A264" s="527"/>
      <c r="B264" s="527"/>
      <c r="C264" s="529"/>
      <c r="D264" s="528">
        <v>0</v>
      </c>
      <c r="E264" s="528"/>
      <c r="F264" s="542"/>
      <c r="G264" s="378"/>
      <c r="H264" s="378"/>
    </row>
    <row r="265" spans="1:8" x14ac:dyDescent="0.25">
      <c r="A265" s="524" t="s">
        <v>247</v>
      </c>
      <c r="B265" s="524" t="s">
        <v>146</v>
      </c>
      <c r="C265" s="525"/>
      <c r="D265" s="526"/>
      <c r="E265" s="526">
        <f>SUM(D266:D266)</f>
        <v>0</v>
      </c>
      <c r="F265" s="542"/>
      <c r="G265" s="378"/>
      <c r="H265" s="378"/>
    </row>
    <row r="266" spans="1:8" x14ac:dyDescent="0.25">
      <c r="A266" s="524"/>
      <c r="B266" s="527"/>
      <c r="C266" s="525"/>
      <c r="D266" s="528"/>
      <c r="E266" s="526"/>
      <c r="F266" s="542"/>
      <c r="G266" s="378"/>
      <c r="H266" s="378"/>
    </row>
    <row r="267" spans="1:8" x14ac:dyDescent="0.25">
      <c r="A267" s="524" t="s">
        <v>255</v>
      </c>
      <c r="B267" s="524" t="s">
        <v>888</v>
      </c>
      <c r="C267" s="525"/>
      <c r="D267" s="526"/>
      <c r="E267" s="526">
        <v>0</v>
      </c>
      <c r="F267" s="528"/>
      <c r="G267" s="378"/>
      <c r="H267" s="378"/>
    </row>
    <row r="268" spans="1:8" ht="15.75" thickBot="1" x14ac:dyDescent="0.3">
      <c r="A268" s="530" t="s">
        <v>889</v>
      </c>
      <c r="B268" s="535"/>
      <c r="C268" s="538"/>
      <c r="D268" s="544"/>
      <c r="E268" s="544"/>
      <c r="F268" s="533">
        <f>SUM(E259:E267)</f>
        <v>0</v>
      </c>
      <c r="G268" s="378"/>
      <c r="H268" s="378"/>
    </row>
    <row r="269" spans="1:8" ht="15.75" thickBot="1" x14ac:dyDescent="0.3">
      <c r="A269" s="724" t="s">
        <v>1342</v>
      </c>
      <c r="B269" s="724"/>
      <c r="C269" s="523"/>
      <c r="D269" s="542"/>
      <c r="E269" s="542"/>
      <c r="F269" s="539">
        <f>SUM(F255+F257+F268)</f>
        <v>0</v>
      </c>
      <c r="G269" s="378"/>
      <c r="H269" s="378"/>
    </row>
    <row r="270" spans="1:8" x14ac:dyDescent="0.25">
      <c r="A270" s="522"/>
      <c r="B270" s="522"/>
      <c r="C270" s="523"/>
      <c r="D270" s="523"/>
      <c r="E270" s="523"/>
      <c r="F270" s="523"/>
      <c r="G270" s="378"/>
      <c r="H270" s="378"/>
    </row>
    <row r="271" spans="1:8" ht="15.75" thickBot="1" x14ac:dyDescent="0.3">
      <c r="A271" s="522"/>
      <c r="B271" s="522"/>
      <c r="C271" s="523"/>
      <c r="D271" s="523"/>
      <c r="E271" s="523"/>
      <c r="F271" s="523"/>
      <c r="G271" s="378"/>
      <c r="H271" s="378"/>
    </row>
    <row r="272" spans="1:8" ht="15.75" thickBot="1" x14ac:dyDescent="0.3">
      <c r="A272" s="726" t="s">
        <v>995</v>
      </c>
      <c r="B272" s="727"/>
      <c r="C272" s="727"/>
      <c r="D272" s="727"/>
      <c r="E272" s="727"/>
      <c r="F272" s="728"/>
      <c r="G272" s="378"/>
      <c r="H272" s="378"/>
    </row>
    <row r="273" spans="1:8" x14ac:dyDescent="0.25">
      <c r="A273" s="522"/>
      <c r="B273" s="522"/>
      <c r="C273" s="523"/>
      <c r="D273" s="523"/>
      <c r="E273" s="523"/>
      <c r="F273" s="523"/>
      <c r="G273" s="378"/>
      <c r="H273" s="378"/>
    </row>
    <row r="274" spans="1:8" x14ac:dyDescent="0.25">
      <c r="A274" s="524" t="s">
        <v>230</v>
      </c>
      <c r="B274" s="524" t="s">
        <v>891</v>
      </c>
      <c r="C274" s="525"/>
      <c r="D274" s="526"/>
      <c r="E274" s="526">
        <f>SUM(D275)</f>
        <v>50000</v>
      </c>
      <c r="F274" s="542"/>
      <c r="G274" s="378"/>
      <c r="H274" s="378"/>
    </row>
    <row r="275" spans="1:8" x14ac:dyDescent="0.25">
      <c r="A275" s="524"/>
      <c r="B275" s="524"/>
      <c r="C275" s="525"/>
      <c r="D275" s="528">
        <v>50000</v>
      </c>
      <c r="E275" s="526"/>
      <c r="F275" s="542"/>
      <c r="G275" s="378"/>
      <c r="H275" s="378"/>
    </row>
    <row r="276" spans="1:8" x14ac:dyDescent="0.25">
      <c r="A276" s="524" t="s">
        <v>242</v>
      </c>
      <c r="B276" s="524" t="s">
        <v>901</v>
      </c>
      <c r="C276" s="525"/>
      <c r="D276" s="526"/>
      <c r="E276" s="526">
        <f>SUM(D277)</f>
        <v>0</v>
      </c>
      <c r="F276" s="542"/>
      <c r="G276" s="378"/>
      <c r="H276" s="378"/>
    </row>
    <row r="277" spans="1:8" x14ac:dyDescent="0.25">
      <c r="A277" s="527"/>
      <c r="B277" s="527">
        <v>0</v>
      </c>
      <c r="C277" s="529"/>
      <c r="D277" s="528">
        <v>0</v>
      </c>
      <c r="E277" s="528"/>
      <c r="F277" s="542"/>
      <c r="G277" s="378"/>
      <c r="H277" s="378"/>
    </row>
    <row r="278" spans="1:8" x14ac:dyDescent="0.25">
      <c r="A278" s="524" t="s">
        <v>243</v>
      </c>
      <c r="B278" s="524" t="s">
        <v>902</v>
      </c>
      <c r="C278" s="525"/>
      <c r="D278" s="526"/>
      <c r="E278" s="526">
        <f>SUM(D279:D279)</f>
        <v>224500</v>
      </c>
      <c r="F278" s="542"/>
      <c r="G278" s="378"/>
      <c r="H278" s="378"/>
    </row>
    <row r="279" spans="1:8" x14ac:dyDescent="0.25">
      <c r="A279" s="527"/>
      <c r="B279" s="527" t="s">
        <v>902</v>
      </c>
      <c r="C279" s="529"/>
      <c r="D279" s="528">
        <v>224500</v>
      </c>
      <c r="E279" s="528"/>
      <c r="F279" s="542"/>
      <c r="G279" s="378"/>
      <c r="H279" s="378"/>
    </row>
    <row r="280" spans="1:8" x14ac:dyDescent="0.25">
      <c r="A280" s="524" t="s">
        <v>247</v>
      </c>
      <c r="B280" s="524" t="s">
        <v>146</v>
      </c>
      <c r="C280" s="525"/>
      <c r="D280" s="526"/>
      <c r="E280" s="526">
        <f>SUM(D281:D281)</f>
        <v>0</v>
      </c>
      <c r="F280" s="542"/>
      <c r="G280" s="378"/>
      <c r="H280" s="378"/>
    </row>
    <row r="281" spans="1:8" x14ac:dyDescent="0.25">
      <c r="A281" s="527"/>
      <c r="B281" s="527"/>
      <c r="C281" s="529"/>
      <c r="D281" s="528">
        <v>0</v>
      </c>
      <c r="E281" s="528"/>
      <c r="F281" s="542"/>
      <c r="G281" s="378"/>
      <c r="H281" s="378"/>
    </row>
    <row r="282" spans="1:8" x14ac:dyDescent="0.25">
      <c r="A282" s="524" t="s">
        <v>255</v>
      </c>
      <c r="B282" s="524" t="s">
        <v>888</v>
      </c>
      <c r="C282" s="525"/>
      <c r="D282" s="526"/>
      <c r="E282" s="526">
        <v>74115</v>
      </c>
      <c r="F282" s="528"/>
      <c r="G282" s="378"/>
      <c r="H282" s="378"/>
    </row>
    <row r="283" spans="1:8" x14ac:dyDescent="0.25">
      <c r="A283" s="530" t="s">
        <v>889</v>
      </c>
      <c r="B283" s="535"/>
      <c r="C283" s="538"/>
      <c r="D283" s="544"/>
      <c r="E283" s="544"/>
      <c r="F283" s="533">
        <f>SUM(E274:E282)</f>
        <v>348615</v>
      </c>
      <c r="G283" s="378"/>
      <c r="H283" s="378"/>
    </row>
    <row r="284" spans="1:8" x14ac:dyDescent="0.25">
      <c r="A284" s="524" t="s">
        <v>329</v>
      </c>
      <c r="B284" s="524" t="s">
        <v>996</v>
      </c>
      <c r="C284" s="525"/>
      <c r="D284" s="526"/>
      <c r="E284" s="526">
        <f>SUM(D285)</f>
        <v>1575000</v>
      </c>
      <c r="F284" s="526"/>
      <c r="G284" s="378"/>
      <c r="H284" s="378"/>
    </row>
    <row r="285" spans="1:8" x14ac:dyDescent="0.25">
      <c r="A285" s="527"/>
      <c r="B285" s="527" t="s">
        <v>997</v>
      </c>
      <c r="C285" s="529"/>
      <c r="D285" s="528">
        <v>1575000</v>
      </c>
      <c r="E285" s="528"/>
      <c r="F285" s="528"/>
      <c r="G285" s="378"/>
      <c r="H285" s="378"/>
    </row>
    <row r="286" spans="1:8" x14ac:dyDescent="0.25">
      <c r="A286" s="524" t="s">
        <v>330</v>
      </c>
      <c r="B286" s="524" t="s">
        <v>998</v>
      </c>
      <c r="C286" s="525"/>
      <c r="D286" s="526"/>
      <c r="E286" s="526">
        <f>SUM(D287)</f>
        <v>425250</v>
      </c>
      <c r="F286" s="526"/>
      <c r="G286" s="378"/>
      <c r="H286" s="378"/>
    </row>
    <row r="287" spans="1:8" x14ac:dyDescent="0.25">
      <c r="A287" s="527"/>
      <c r="B287" s="527" t="s">
        <v>997</v>
      </c>
      <c r="C287" s="529"/>
      <c r="D287" s="528">
        <v>425250</v>
      </c>
      <c r="E287" s="528"/>
      <c r="F287" s="528"/>
      <c r="G287" s="378"/>
      <c r="H287" s="378"/>
    </row>
    <row r="288" spans="1:8" x14ac:dyDescent="0.25">
      <c r="A288" s="530" t="s">
        <v>999</v>
      </c>
      <c r="B288" s="535"/>
      <c r="C288" s="538"/>
      <c r="D288" s="544"/>
      <c r="E288" s="544"/>
      <c r="F288" s="533">
        <f>SUM(E284:E287)</f>
        <v>2000250</v>
      </c>
      <c r="G288" s="378"/>
      <c r="H288" s="378"/>
    </row>
    <row r="289" spans="1:8" x14ac:dyDescent="0.25">
      <c r="A289" s="724" t="s">
        <v>1342</v>
      </c>
      <c r="B289" s="724"/>
      <c r="C289" s="523"/>
      <c r="D289" s="542"/>
      <c r="E289" s="542"/>
      <c r="F289" s="537">
        <f>SUM(F283:F288)</f>
        <v>2348865</v>
      </c>
      <c r="G289" s="378"/>
      <c r="H289" s="378"/>
    </row>
    <row r="290" spans="1:8" x14ac:dyDescent="0.25">
      <c r="A290" s="522"/>
      <c r="B290" s="522"/>
      <c r="C290" s="523"/>
      <c r="D290" s="523"/>
      <c r="E290" s="523"/>
      <c r="F290" s="523"/>
      <c r="G290" s="378"/>
      <c r="H290" s="378"/>
    </row>
    <row r="291" spans="1:8" ht="15.75" thickBot="1" x14ac:dyDescent="0.3">
      <c r="A291" s="522"/>
      <c r="B291" s="522"/>
      <c r="C291" s="523"/>
      <c r="D291" s="523"/>
      <c r="E291" s="523"/>
      <c r="F291" s="523"/>
      <c r="G291" s="378"/>
      <c r="H291" s="378"/>
    </row>
    <row r="292" spans="1:8" ht="15.75" thickBot="1" x14ac:dyDescent="0.3">
      <c r="A292" s="726" t="s">
        <v>1363</v>
      </c>
      <c r="B292" s="727"/>
      <c r="C292" s="727"/>
      <c r="D292" s="727"/>
      <c r="E292" s="727"/>
      <c r="F292" s="728"/>
      <c r="G292" s="378"/>
      <c r="H292" s="378"/>
    </row>
    <row r="293" spans="1:8" x14ac:dyDescent="0.25">
      <c r="A293" s="527"/>
      <c r="B293" s="527"/>
      <c r="C293" s="529"/>
      <c r="D293" s="529"/>
      <c r="E293" s="529"/>
      <c r="F293" s="529"/>
      <c r="G293" s="378"/>
      <c r="H293" s="378"/>
    </row>
    <row r="294" spans="1:8" x14ac:dyDescent="0.25">
      <c r="A294" s="299" t="s">
        <v>221</v>
      </c>
      <c r="B294" s="299" t="s">
        <v>1413</v>
      </c>
      <c r="C294" s="610"/>
      <c r="D294" s="610"/>
      <c r="E294" s="325">
        <f>SUM(D295)</f>
        <v>2686145</v>
      </c>
      <c r="F294" s="529"/>
      <c r="G294" s="378"/>
      <c r="H294" s="378"/>
    </row>
    <row r="295" spans="1:8" x14ac:dyDescent="0.25">
      <c r="A295" s="299"/>
      <c r="B295" s="527" t="s">
        <v>1414</v>
      </c>
      <c r="C295" s="528">
        <v>383735</v>
      </c>
      <c r="D295" s="528">
        <f>SUM(C295*7)</f>
        <v>2686145</v>
      </c>
      <c r="E295" s="529"/>
      <c r="F295" s="529"/>
      <c r="G295" s="378"/>
      <c r="H295" s="378"/>
    </row>
    <row r="296" spans="1:8" x14ac:dyDescent="0.25">
      <c r="A296" s="657" t="s">
        <v>912</v>
      </c>
      <c r="B296" s="527"/>
      <c r="C296" s="529"/>
      <c r="D296" s="529"/>
      <c r="E296" s="529"/>
      <c r="F296" s="658">
        <f>SUM(E294)</f>
        <v>2686145</v>
      </c>
      <c r="G296" s="378"/>
      <c r="H296" s="378"/>
    </row>
    <row r="297" spans="1:8" x14ac:dyDescent="0.25">
      <c r="A297" s="299" t="s">
        <v>228</v>
      </c>
      <c r="B297" s="299" t="s">
        <v>1415</v>
      </c>
      <c r="C297" s="610"/>
      <c r="D297" s="610"/>
      <c r="E297" s="325">
        <f>SUM(D298)</f>
        <v>349195</v>
      </c>
      <c r="F297" s="529"/>
      <c r="G297" s="378"/>
      <c r="H297" s="378"/>
    </row>
    <row r="298" spans="1:8" x14ac:dyDescent="0.25">
      <c r="A298" s="527"/>
      <c r="B298" s="527" t="s">
        <v>1361</v>
      </c>
      <c r="C298" s="529"/>
      <c r="D298" s="528">
        <v>349195</v>
      </c>
      <c r="E298" s="529"/>
      <c r="F298" s="529"/>
      <c r="G298" s="378"/>
      <c r="H298" s="378"/>
    </row>
    <row r="299" spans="1:8" x14ac:dyDescent="0.25">
      <c r="A299" s="657" t="s">
        <v>916</v>
      </c>
      <c r="B299" s="527"/>
      <c r="C299" s="529"/>
      <c r="D299" s="528"/>
      <c r="E299" s="529"/>
      <c r="F299" s="658">
        <f>SUM(E297)</f>
        <v>349195</v>
      </c>
      <c r="G299" s="378"/>
      <c r="H299" s="378"/>
    </row>
    <row r="300" spans="1:8" x14ac:dyDescent="0.25">
      <c r="A300" s="299" t="s">
        <v>325</v>
      </c>
      <c r="B300" s="299" t="s">
        <v>147</v>
      </c>
      <c r="C300" s="610"/>
      <c r="D300" s="610"/>
      <c r="E300" s="325">
        <f>SUM(D301)</f>
        <v>26633200</v>
      </c>
      <c r="F300" s="529"/>
      <c r="G300" s="378"/>
      <c r="H300" s="378"/>
    </row>
    <row r="301" spans="1:8" x14ac:dyDescent="0.25">
      <c r="A301" s="527"/>
      <c r="B301" s="527" t="s">
        <v>1364</v>
      </c>
      <c r="C301" s="529"/>
      <c r="D301" s="528">
        <v>26633200</v>
      </c>
      <c r="E301" s="528"/>
      <c r="F301" s="529"/>
      <c r="G301" s="378"/>
      <c r="H301" s="378"/>
    </row>
    <row r="302" spans="1:8" x14ac:dyDescent="0.25">
      <c r="A302" s="299" t="s">
        <v>330</v>
      </c>
      <c r="B302" s="299" t="s">
        <v>1340</v>
      </c>
      <c r="C302" s="610"/>
      <c r="D302" s="610"/>
      <c r="E302" s="325">
        <f>SUM(D303)</f>
        <v>7190964</v>
      </c>
      <c r="F302" s="529"/>
      <c r="G302" s="378"/>
      <c r="H302" s="378"/>
    </row>
    <row r="303" spans="1:8" x14ac:dyDescent="0.25">
      <c r="A303" s="527"/>
      <c r="B303" s="527" t="s">
        <v>1364</v>
      </c>
      <c r="C303" s="529"/>
      <c r="D303" s="528">
        <v>7190964</v>
      </c>
      <c r="E303" s="529"/>
      <c r="F303" s="529"/>
      <c r="G303" s="378"/>
      <c r="H303" s="378"/>
    </row>
    <row r="304" spans="1:8" ht="15.75" thickBot="1" x14ac:dyDescent="0.3">
      <c r="A304" s="657" t="s">
        <v>1341</v>
      </c>
      <c r="B304" s="527"/>
      <c r="C304" s="529"/>
      <c r="D304" s="528"/>
      <c r="E304" s="529"/>
      <c r="F304" s="658">
        <f>SUM(E300:E302)</f>
        <v>33824164</v>
      </c>
      <c r="G304" s="378"/>
      <c r="H304" s="378"/>
    </row>
    <row r="305" spans="1:8" ht="15.75" thickBot="1" x14ac:dyDescent="0.3">
      <c r="A305" s="724" t="s">
        <v>1342</v>
      </c>
      <c r="B305" s="724"/>
      <c r="C305" s="529"/>
      <c r="D305" s="529"/>
      <c r="E305" s="529"/>
      <c r="F305" s="611">
        <f>SUM(F296:F304)</f>
        <v>36859504</v>
      </c>
      <c r="G305" s="378"/>
      <c r="H305" s="378"/>
    </row>
    <row r="306" spans="1:8" x14ac:dyDescent="0.25">
      <c r="A306" s="527"/>
      <c r="B306" s="527"/>
      <c r="C306" s="529"/>
      <c r="D306" s="529"/>
      <c r="E306" s="529"/>
      <c r="F306" s="529"/>
      <c r="G306" s="378"/>
      <c r="H306" s="378"/>
    </row>
    <row r="307" spans="1:8" ht="15.75" thickBot="1" x14ac:dyDescent="0.3">
      <c r="A307" s="527"/>
      <c r="B307" s="527"/>
      <c r="C307" s="529"/>
      <c r="D307" s="529"/>
      <c r="E307" s="529"/>
      <c r="F307" s="529"/>
      <c r="G307" s="378"/>
      <c r="H307" s="378"/>
    </row>
    <row r="308" spans="1:8" ht="15.75" thickBot="1" x14ac:dyDescent="0.3">
      <c r="A308" s="726" t="s">
        <v>154</v>
      </c>
      <c r="B308" s="727"/>
      <c r="C308" s="727"/>
      <c r="D308" s="727"/>
      <c r="E308" s="727"/>
      <c r="F308" s="728"/>
      <c r="G308" s="378"/>
      <c r="H308" s="378"/>
    </row>
    <row r="309" spans="1:8" x14ac:dyDescent="0.25">
      <c r="A309" s="606"/>
      <c r="B309" s="606"/>
      <c r="C309" s="606"/>
      <c r="D309" s="606"/>
      <c r="E309" s="606"/>
      <c r="F309" s="606"/>
      <c r="G309" s="378"/>
      <c r="H309" s="378"/>
    </row>
    <row r="310" spans="1:8" x14ac:dyDescent="0.25">
      <c r="A310" s="524" t="s">
        <v>240</v>
      </c>
      <c r="B310" s="524" t="s">
        <v>158</v>
      </c>
      <c r="C310" s="525"/>
      <c r="D310" s="526"/>
      <c r="E310" s="526">
        <f>SUM(D311:D312)</f>
        <v>3600000</v>
      </c>
      <c r="F310" s="542"/>
      <c r="G310" s="378"/>
      <c r="H310" s="378"/>
    </row>
    <row r="311" spans="1:8" x14ac:dyDescent="0.25">
      <c r="A311" s="527"/>
      <c r="B311" s="527" t="s">
        <v>1000</v>
      </c>
      <c r="C311" s="529"/>
      <c r="D311" s="528">
        <v>2100000</v>
      </c>
      <c r="E311" s="528"/>
      <c r="F311" s="542"/>
      <c r="G311" s="378"/>
      <c r="H311" s="378"/>
    </row>
    <row r="312" spans="1:8" x14ac:dyDescent="0.25">
      <c r="A312" s="527"/>
      <c r="B312" s="527" t="s">
        <v>1001</v>
      </c>
      <c r="C312" s="529"/>
      <c r="D312" s="528">
        <v>1500000</v>
      </c>
      <c r="E312" s="528"/>
      <c r="F312" s="542"/>
      <c r="G312" s="378"/>
      <c r="H312" s="378"/>
    </row>
    <row r="313" spans="1:8" x14ac:dyDescent="0.25">
      <c r="A313" s="524" t="s">
        <v>243</v>
      </c>
      <c r="B313" s="524" t="s">
        <v>902</v>
      </c>
      <c r="C313" s="525"/>
      <c r="D313" s="526"/>
      <c r="E313" s="526">
        <f>SUM(D314:D314)</f>
        <v>556000</v>
      </c>
      <c r="F313" s="542"/>
      <c r="G313" s="378"/>
      <c r="H313" s="378"/>
    </row>
    <row r="314" spans="1:8" x14ac:dyDescent="0.25">
      <c r="A314" s="522"/>
      <c r="B314" s="527" t="s">
        <v>1000</v>
      </c>
      <c r="C314" s="529"/>
      <c r="D314" s="528">
        <v>556000</v>
      </c>
      <c r="E314" s="542"/>
      <c r="F314" s="542"/>
      <c r="G314" s="378"/>
      <c r="H314" s="378"/>
    </row>
    <row r="315" spans="1:8" x14ac:dyDescent="0.25">
      <c r="A315" s="524" t="s">
        <v>255</v>
      </c>
      <c r="B315" s="524" t="s">
        <v>888</v>
      </c>
      <c r="C315" s="525"/>
      <c r="D315" s="526"/>
      <c r="E315" s="526">
        <v>1255000</v>
      </c>
      <c r="F315" s="528"/>
      <c r="G315" s="378"/>
      <c r="H315" s="378"/>
    </row>
    <row r="316" spans="1:8" ht="15.75" thickBot="1" x14ac:dyDescent="0.3">
      <c r="A316" s="530" t="s">
        <v>889</v>
      </c>
      <c r="B316" s="535"/>
      <c r="C316" s="538"/>
      <c r="D316" s="544"/>
      <c r="E316" s="544"/>
      <c r="F316" s="533">
        <f>SUM(E310:E315)</f>
        <v>5411000</v>
      </c>
      <c r="G316" s="378"/>
      <c r="H316" s="378"/>
    </row>
    <row r="317" spans="1:8" ht="15.75" thickBot="1" x14ac:dyDescent="0.3">
      <c r="A317" s="724" t="s">
        <v>1342</v>
      </c>
      <c r="B317" s="724"/>
      <c r="C317" s="609" t="s">
        <v>1247</v>
      </c>
      <c r="D317" s="558">
        <v>7839000</v>
      </c>
      <c r="E317" s="528"/>
      <c r="F317" s="539">
        <f>F316</f>
        <v>5411000</v>
      </c>
      <c r="G317" s="378"/>
      <c r="H317" s="378"/>
    </row>
    <row r="318" spans="1:8" x14ac:dyDescent="0.25">
      <c r="A318" s="522"/>
      <c r="B318" s="522"/>
      <c r="C318" s="523"/>
      <c r="D318" s="523"/>
      <c r="E318" s="523"/>
      <c r="F318" s="523"/>
      <c r="G318" s="378"/>
      <c r="H318" s="378"/>
    </row>
    <row r="319" spans="1:8" ht="15.75" thickBot="1" x14ac:dyDescent="0.3">
      <c r="A319" s="522"/>
      <c r="B319" s="522"/>
      <c r="C319" s="523"/>
      <c r="D319" s="523"/>
      <c r="E319" s="523"/>
      <c r="F319" s="523"/>
      <c r="G319" s="378"/>
      <c r="H319" s="378"/>
    </row>
    <row r="320" spans="1:8" ht="15.75" thickBot="1" x14ac:dyDescent="0.3">
      <c r="A320" s="726" t="s">
        <v>1002</v>
      </c>
      <c r="B320" s="727"/>
      <c r="C320" s="727"/>
      <c r="D320" s="727"/>
      <c r="E320" s="727"/>
      <c r="F320" s="728"/>
      <c r="G320" s="378"/>
      <c r="H320" s="378"/>
    </row>
    <row r="321" spans="1:8" x14ac:dyDescent="0.25">
      <c r="A321" s="522"/>
      <c r="B321" s="522"/>
      <c r="C321" s="523"/>
      <c r="D321" s="523"/>
      <c r="E321" s="523"/>
      <c r="F321" s="523"/>
      <c r="G321" s="378"/>
      <c r="H321" s="378"/>
    </row>
    <row r="322" spans="1:8" x14ac:dyDescent="0.25">
      <c r="A322" s="524" t="s">
        <v>195</v>
      </c>
      <c r="B322" s="524" t="s">
        <v>877</v>
      </c>
      <c r="C322" s="528"/>
      <c r="D322" s="528"/>
      <c r="E322" s="526">
        <f>SUM(D323:D326)</f>
        <v>4734800</v>
      </c>
      <c r="F322" s="542"/>
      <c r="G322" s="378"/>
      <c r="H322" s="378"/>
    </row>
    <row r="323" spans="1:8" x14ac:dyDescent="0.25">
      <c r="A323" s="527"/>
      <c r="B323" s="527" t="s">
        <v>48</v>
      </c>
      <c r="C323" s="528">
        <v>167400</v>
      </c>
      <c r="D323" s="528">
        <f>SUM(C323*1)</f>
        <v>167400</v>
      </c>
      <c r="E323" s="528"/>
      <c r="F323" s="542"/>
      <c r="G323" s="378"/>
      <c r="H323" s="378"/>
    </row>
    <row r="324" spans="1:8" x14ac:dyDescent="0.25">
      <c r="A324" s="527"/>
      <c r="B324" s="527"/>
      <c r="C324" s="528">
        <v>200000</v>
      </c>
      <c r="D324" s="528">
        <f>SUM(C324*11)</f>
        <v>2200000</v>
      </c>
      <c r="E324" s="528"/>
      <c r="F324" s="542"/>
      <c r="G324" s="378"/>
      <c r="H324" s="378"/>
    </row>
    <row r="325" spans="1:8" x14ac:dyDescent="0.25">
      <c r="A325" s="527"/>
      <c r="B325" s="527" t="s">
        <v>1003</v>
      </c>
      <c r="C325" s="528">
        <v>167400</v>
      </c>
      <c r="D325" s="528">
        <f>SUM(C325*1)</f>
        <v>167400</v>
      </c>
      <c r="E325" s="528"/>
      <c r="F325" s="542"/>
      <c r="G325" s="378"/>
      <c r="H325" s="378"/>
    </row>
    <row r="326" spans="1:8" x14ac:dyDescent="0.25">
      <c r="A326" s="527"/>
      <c r="B326" s="527"/>
      <c r="C326" s="528">
        <v>200000</v>
      </c>
      <c r="D326" s="528">
        <f>SUM(C326*11)</f>
        <v>2200000</v>
      </c>
      <c r="E326" s="528"/>
      <c r="F326" s="542"/>
      <c r="G326" s="378"/>
      <c r="H326" s="378"/>
    </row>
    <row r="327" spans="1:8" x14ac:dyDescent="0.25">
      <c r="A327" s="524" t="s">
        <v>206</v>
      </c>
      <c r="B327" s="524" t="s">
        <v>205</v>
      </c>
      <c r="C327" s="526"/>
      <c r="D327" s="526"/>
      <c r="E327" s="526">
        <f>SUM(D328:D329)</f>
        <v>0</v>
      </c>
      <c r="F327" s="553"/>
      <c r="G327" s="378"/>
      <c r="H327" s="378"/>
    </row>
    <row r="328" spans="1:8" x14ac:dyDescent="0.25">
      <c r="A328" s="527"/>
      <c r="B328" s="527"/>
      <c r="C328" s="528"/>
      <c r="D328" s="528"/>
      <c r="E328" s="528"/>
      <c r="F328" s="542"/>
      <c r="G328" s="378"/>
      <c r="H328" s="378"/>
    </row>
    <row r="329" spans="1:8" x14ac:dyDescent="0.25">
      <c r="A329" s="527"/>
      <c r="B329" s="527"/>
      <c r="C329" s="528"/>
      <c r="D329" s="528"/>
      <c r="E329" s="528"/>
      <c r="F329" s="542"/>
      <c r="G329" s="378"/>
      <c r="H329" s="378"/>
    </row>
    <row r="330" spans="1:8" x14ac:dyDescent="0.25">
      <c r="A330" s="530" t="s">
        <v>879</v>
      </c>
      <c r="B330" s="535"/>
      <c r="C330" s="544"/>
      <c r="D330" s="544"/>
      <c r="E330" s="544"/>
      <c r="F330" s="532">
        <f>SUM(E322:E329)</f>
        <v>4734800</v>
      </c>
      <c r="G330" s="378"/>
      <c r="H330" s="378"/>
    </row>
    <row r="331" spans="1:8" x14ac:dyDescent="0.25">
      <c r="A331" s="535" t="s">
        <v>228</v>
      </c>
      <c r="B331" s="535" t="s">
        <v>1004</v>
      </c>
      <c r="C331" s="544"/>
      <c r="D331" s="544"/>
      <c r="E331" s="544">
        <f>SUM(D332+D335)</f>
        <v>623894</v>
      </c>
      <c r="F331" s="543"/>
      <c r="G331" s="378"/>
      <c r="H331" s="378"/>
    </row>
    <row r="332" spans="1:8" x14ac:dyDescent="0.25">
      <c r="A332" s="524"/>
      <c r="B332" s="524" t="s">
        <v>881</v>
      </c>
      <c r="C332" s="526"/>
      <c r="D332" s="526">
        <f>SUM(D333:D334)</f>
        <v>623894</v>
      </c>
      <c r="E332" s="526"/>
      <c r="F332" s="528"/>
      <c r="G332" s="378"/>
      <c r="H332" s="378"/>
    </row>
    <row r="333" spans="1:8" x14ac:dyDescent="0.25">
      <c r="A333" s="527"/>
      <c r="B333" s="527" t="s">
        <v>1365</v>
      </c>
      <c r="C333" s="528">
        <f>SUM(D323+D325)</f>
        <v>334800</v>
      </c>
      <c r="D333" s="528">
        <f>SUM(C333*0.155)</f>
        <v>51894</v>
      </c>
      <c r="E333" s="528"/>
      <c r="F333" s="528"/>
      <c r="G333" s="378"/>
      <c r="H333" s="378"/>
    </row>
    <row r="334" spans="1:8" x14ac:dyDescent="0.25">
      <c r="A334" s="527"/>
      <c r="B334" s="527" t="s">
        <v>1366</v>
      </c>
      <c r="C334" s="528">
        <f>SUM(D324+D326)</f>
        <v>4400000</v>
      </c>
      <c r="D334" s="528">
        <f>SUM(C334*0.13)</f>
        <v>572000</v>
      </c>
      <c r="E334" s="528"/>
      <c r="F334" s="528"/>
      <c r="G334" s="378"/>
      <c r="H334" s="378"/>
    </row>
    <row r="335" spans="1:8" x14ac:dyDescent="0.25">
      <c r="A335" s="527"/>
      <c r="B335" s="524" t="s">
        <v>1005</v>
      </c>
      <c r="C335" s="526"/>
      <c r="D335" s="526">
        <f>SUM(C336)</f>
        <v>0</v>
      </c>
      <c r="E335" s="528"/>
      <c r="F335" s="528"/>
      <c r="G335" s="378"/>
      <c r="H335" s="378"/>
    </row>
    <row r="336" spans="1:8" x14ac:dyDescent="0.25">
      <c r="A336" s="527"/>
      <c r="B336" s="527" t="s">
        <v>884</v>
      </c>
      <c r="C336" s="528">
        <f>SUM(E327*0.15)</f>
        <v>0</v>
      </c>
      <c r="D336" s="528"/>
      <c r="E336" s="528"/>
      <c r="F336" s="528"/>
      <c r="G336" s="378"/>
      <c r="H336" s="378"/>
    </row>
    <row r="337" spans="1:8" x14ac:dyDescent="0.25">
      <c r="A337" s="530" t="s">
        <v>885</v>
      </c>
      <c r="B337" s="535"/>
      <c r="C337" s="544"/>
      <c r="D337" s="544"/>
      <c r="E337" s="544"/>
      <c r="F337" s="533">
        <f>SUM(E331)</f>
        <v>623894</v>
      </c>
      <c r="G337" s="378"/>
      <c r="H337" s="378"/>
    </row>
    <row r="338" spans="1:8" x14ac:dyDescent="0.25">
      <c r="A338" s="524" t="s">
        <v>230</v>
      </c>
      <c r="B338" s="524" t="s">
        <v>891</v>
      </c>
      <c r="C338" s="526"/>
      <c r="D338" s="526"/>
      <c r="E338" s="526">
        <f>SUM(D339:D340)</f>
        <v>350000</v>
      </c>
      <c r="F338" s="542"/>
      <c r="G338" s="378"/>
      <c r="H338" s="378"/>
    </row>
    <row r="339" spans="1:8" x14ac:dyDescent="0.25">
      <c r="A339" s="527"/>
      <c r="B339" s="527" t="s">
        <v>958</v>
      </c>
      <c r="C339" s="528"/>
      <c r="D339" s="528">
        <v>150000</v>
      </c>
      <c r="E339" s="528"/>
      <c r="F339" s="542"/>
      <c r="G339" s="378"/>
      <c r="H339" s="378"/>
    </row>
    <row r="340" spans="1:8" x14ac:dyDescent="0.25">
      <c r="A340" s="527"/>
      <c r="B340" s="527" t="s">
        <v>969</v>
      </c>
      <c r="C340" s="528"/>
      <c r="D340" s="528">
        <v>200000</v>
      </c>
      <c r="E340" s="528"/>
      <c r="F340" s="542"/>
      <c r="G340" s="378"/>
      <c r="H340" s="378"/>
    </row>
    <row r="341" spans="1:8" x14ac:dyDescent="0.25">
      <c r="A341" s="299" t="s">
        <v>240</v>
      </c>
      <c r="B341" s="299" t="s">
        <v>158</v>
      </c>
      <c r="C341" s="325"/>
      <c r="D341" s="325"/>
      <c r="E341" s="325">
        <f>SUM(D342:D343)</f>
        <v>55000</v>
      </c>
      <c r="F341" s="542"/>
      <c r="G341" s="378"/>
      <c r="H341" s="378"/>
    </row>
    <row r="342" spans="1:8" x14ac:dyDescent="0.25">
      <c r="A342" s="527"/>
      <c r="B342" s="527" t="s">
        <v>1367</v>
      </c>
      <c r="C342" s="528"/>
      <c r="D342" s="528">
        <v>5000</v>
      </c>
      <c r="E342" s="528"/>
      <c r="F342" s="542"/>
      <c r="G342" s="378"/>
      <c r="H342" s="378"/>
    </row>
    <row r="343" spans="1:8" x14ac:dyDescent="0.25">
      <c r="A343" s="527"/>
      <c r="B343" s="527" t="s">
        <v>1368</v>
      </c>
      <c r="C343" s="528"/>
      <c r="D343" s="528">
        <v>50000</v>
      </c>
      <c r="E343" s="528"/>
      <c r="F343" s="542"/>
      <c r="G343" s="378"/>
      <c r="H343" s="378"/>
    </row>
    <row r="344" spans="1:8" x14ac:dyDescent="0.25">
      <c r="A344" s="524" t="s">
        <v>243</v>
      </c>
      <c r="B344" s="524" t="s">
        <v>902</v>
      </c>
      <c r="C344" s="526"/>
      <c r="D344" s="526"/>
      <c r="E344" s="526">
        <f>SUM(D345:D345)</f>
        <v>50000</v>
      </c>
      <c r="F344" s="542"/>
      <c r="G344" s="378"/>
      <c r="H344" s="378"/>
    </row>
    <row r="345" spans="1:8" x14ac:dyDescent="0.25">
      <c r="A345" s="527"/>
      <c r="B345" s="527"/>
      <c r="C345" s="528"/>
      <c r="D345" s="528">
        <v>50000</v>
      </c>
      <c r="E345" s="528"/>
      <c r="F345" s="542"/>
      <c r="G345" s="378"/>
      <c r="H345" s="378"/>
    </row>
    <row r="346" spans="1:8" x14ac:dyDescent="0.25">
      <c r="A346" s="524" t="s">
        <v>247</v>
      </c>
      <c r="B346" s="524" t="s">
        <v>146</v>
      </c>
      <c r="C346" s="526"/>
      <c r="D346" s="526"/>
      <c r="E346" s="526">
        <f>SUM(D347)</f>
        <v>14000</v>
      </c>
      <c r="F346" s="542"/>
      <c r="G346" s="378"/>
      <c r="H346" s="378"/>
    </row>
    <row r="347" spans="1:8" x14ac:dyDescent="0.25">
      <c r="A347" s="527"/>
      <c r="B347" s="527" t="s">
        <v>1006</v>
      </c>
      <c r="C347" s="528">
        <v>7000</v>
      </c>
      <c r="D347" s="528">
        <f>SUM(C347*2)</f>
        <v>14000</v>
      </c>
      <c r="E347" s="528"/>
      <c r="F347" s="542"/>
      <c r="G347" s="522"/>
      <c r="H347" s="378"/>
    </row>
    <row r="348" spans="1:8" x14ac:dyDescent="0.25">
      <c r="A348" s="524" t="s">
        <v>255</v>
      </c>
      <c r="B348" s="524" t="s">
        <v>888</v>
      </c>
      <c r="C348" s="526"/>
      <c r="D348" s="526"/>
      <c r="E348" s="526">
        <v>250000</v>
      </c>
      <c r="F348" s="528"/>
      <c r="G348" s="522"/>
      <c r="H348" s="378"/>
    </row>
    <row r="349" spans="1:8" ht="15.75" thickBot="1" x14ac:dyDescent="0.3">
      <c r="A349" s="530" t="s">
        <v>889</v>
      </c>
      <c r="B349" s="535"/>
      <c r="C349" s="544"/>
      <c r="D349" s="544"/>
      <c r="E349" s="544"/>
      <c r="F349" s="533">
        <f>SUM(E338:E348)</f>
        <v>719000</v>
      </c>
      <c r="G349" s="378"/>
      <c r="H349" s="378"/>
    </row>
    <row r="350" spans="1:8" ht="15.75" thickBot="1" x14ac:dyDescent="0.3">
      <c r="A350" s="724" t="s">
        <v>1342</v>
      </c>
      <c r="B350" s="724"/>
      <c r="C350" s="558" t="s">
        <v>1343</v>
      </c>
      <c r="D350" s="558">
        <v>5171400</v>
      </c>
      <c r="E350" s="528"/>
      <c r="F350" s="539">
        <f>SUM(F330:F349)</f>
        <v>6077694</v>
      </c>
      <c r="G350" s="378"/>
      <c r="H350" s="378"/>
    </row>
    <row r="351" spans="1:8" x14ac:dyDescent="0.25">
      <c r="A351" s="522"/>
      <c r="B351" s="522"/>
      <c r="C351" s="523"/>
      <c r="D351" s="523"/>
      <c r="E351" s="523"/>
      <c r="F351" s="523"/>
      <c r="G351" s="378"/>
      <c r="H351" s="378"/>
    </row>
    <row r="352" spans="1:8" ht="15.75" thickBot="1" x14ac:dyDescent="0.3">
      <c r="A352" s="522"/>
      <c r="B352" s="522"/>
      <c r="C352" s="523"/>
      <c r="D352" s="523"/>
      <c r="E352" s="523"/>
      <c r="F352" s="523"/>
      <c r="G352" s="378"/>
      <c r="H352" s="378"/>
    </row>
    <row r="353" spans="1:8" ht="15.75" thickBot="1" x14ac:dyDescent="0.3">
      <c r="A353" s="726" t="s">
        <v>1007</v>
      </c>
      <c r="B353" s="727"/>
      <c r="C353" s="727"/>
      <c r="D353" s="727"/>
      <c r="E353" s="727"/>
      <c r="F353" s="728"/>
      <c r="G353" s="378"/>
      <c r="H353" s="378"/>
    </row>
    <row r="354" spans="1:8" x14ac:dyDescent="0.25">
      <c r="A354" s="522"/>
      <c r="B354" s="522"/>
      <c r="C354" s="542"/>
      <c r="D354" s="542"/>
      <c r="E354" s="542"/>
      <c r="F354" s="542"/>
      <c r="G354" s="378"/>
      <c r="H354" s="378"/>
    </row>
    <row r="355" spans="1:8" x14ac:dyDescent="0.25">
      <c r="A355" s="524" t="s">
        <v>195</v>
      </c>
      <c r="B355" s="524" t="s">
        <v>877</v>
      </c>
      <c r="C355" s="528"/>
      <c r="D355" s="528"/>
      <c r="E355" s="526">
        <f>SUM(D356:D357)</f>
        <v>2367400</v>
      </c>
      <c r="F355" s="528"/>
      <c r="G355" s="378"/>
      <c r="H355" s="378"/>
    </row>
    <row r="356" spans="1:8" x14ac:dyDescent="0.25">
      <c r="A356" s="527"/>
      <c r="B356" s="527" t="s">
        <v>183</v>
      </c>
      <c r="C356" s="528">
        <v>167400</v>
      </c>
      <c r="D356" s="528">
        <f>SUM(C356*1)</f>
        <v>167400</v>
      </c>
      <c r="E356" s="528"/>
      <c r="F356" s="528"/>
      <c r="G356" s="378"/>
      <c r="H356" s="378"/>
    </row>
    <row r="357" spans="1:8" x14ac:dyDescent="0.25">
      <c r="A357" s="527"/>
      <c r="B357" s="527"/>
      <c r="C357" s="528">
        <v>200000</v>
      </c>
      <c r="D357" s="528">
        <f>SUM(C357*11)</f>
        <v>2200000</v>
      </c>
      <c r="E357" s="528"/>
      <c r="F357" s="528"/>
      <c r="G357" s="378"/>
      <c r="H357" s="378"/>
    </row>
    <row r="358" spans="1:8" x14ac:dyDescent="0.25">
      <c r="A358" s="524" t="s">
        <v>197</v>
      </c>
      <c r="B358" s="524" t="s">
        <v>23</v>
      </c>
      <c r="C358" s="526"/>
      <c r="D358" s="526"/>
      <c r="E358" s="526">
        <f>SUM(D359)</f>
        <v>0</v>
      </c>
      <c r="F358" s="528"/>
      <c r="G358" s="378"/>
      <c r="H358" s="378"/>
    </row>
    <row r="359" spans="1:8" x14ac:dyDescent="0.25">
      <c r="A359" s="527"/>
      <c r="B359" s="527"/>
      <c r="C359" s="528"/>
      <c r="D359" s="528">
        <v>0</v>
      </c>
      <c r="E359" s="528"/>
      <c r="F359" s="528"/>
      <c r="G359" s="378"/>
      <c r="H359" s="378"/>
    </row>
    <row r="360" spans="1:8" x14ac:dyDescent="0.25">
      <c r="A360" s="527" t="s">
        <v>204</v>
      </c>
      <c r="B360" s="524" t="s">
        <v>16</v>
      </c>
      <c r="C360" s="528"/>
      <c r="D360" s="528"/>
      <c r="E360" s="526">
        <f>SUM(D361)</f>
        <v>0</v>
      </c>
      <c r="F360" s="528"/>
      <c r="G360" s="378"/>
      <c r="H360" s="378"/>
    </row>
    <row r="361" spans="1:8" x14ac:dyDescent="0.25">
      <c r="A361" s="527"/>
      <c r="B361" s="527"/>
      <c r="C361" s="528">
        <v>0</v>
      </c>
      <c r="D361" s="528">
        <f>SUM(C361*3)</f>
        <v>0</v>
      </c>
      <c r="E361" s="528"/>
      <c r="F361" s="528"/>
      <c r="G361" s="378"/>
      <c r="H361" s="378"/>
    </row>
    <row r="362" spans="1:8" x14ac:dyDescent="0.25">
      <c r="A362" s="524" t="s">
        <v>206</v>
      </c>
      <c r="B362" s="524" t="s">
        <v>205</v>
      </c>
      <c r="C362" s="526"/>
      <c r="D362" s="526"/>
      <c r="E362" s="526">
        <f>SUM(D363:D363)</f>
        <v>0</v>
      </c>
      <c r="F362" s="542"/>
      <c r="G362" s="378"/>
      <c r="H362" s="378"/>
    </row>
    <row r="363" spans="1:8" x14ac:dyDescent="0.25">
      <c r="A363" s="527"/>
      <c r="B363" s="554"/>
      <c r="C363" s="528"/>
      <c r="D363" s="545"/>
      <c r="E363" s="528"/>
      <c r="F363" s="542"/>
      <c r="G363" s="378"/>
      <c r="H363" s="378"/>
    </row>
    <row r="364" spans="1:8" x14ac:dyDescent="0.25">
      <c r="A364" s="527" t="s">
        <v>210</v>
      </c>
      <c r="B364" s="524" t="s">
        <v>878</v>
      </c>
      <c r="C364" s="528"/>
      <c r="D364" s="528"/>
      <c r="E364" s="526">
        <f>SUM(D365)</f>
        <v>0</v>
      </c>
      <c r="F364" s="528"/>
      <c r="G364" s="378"/>
      <c r="H364" s="378"/>
    </row>
    <row r="365" spans="1:8" x14ac:dyDescent="0.25">
      <c r="A365" s="527"/>
      <c r="B365" s="527"/>
      <c r="C365" s="528"/>
      <c r="D365" s="528">
        <f>SUM(C365*2)</f>
        <v>0</v>
      </c>
      <c r="E365" s="528"/>
      <c r="F365" s="528"/>
      <c r="G365" s="378"/>
      <c r="H365" s="378"/>
    </row>
    <row r="366" spans="1:8" x14ac:dyDescent="0.25">
      <c r="A366" s="530" t="s">
        <v>879</v>
      </c>
      <c r="B366" s="535"/>
      <c r="C366" s="544"/>
      <c r="D366" s="544"/>
      <c r="E366" s="544"/>
      <c r="F366" s="532">
        <f>SUM(E355:E365)</f>
        <v>2367400</v>
      </c>
      <c r="G366" s="378"/>
      <c r="H366" s="378"/>
    </row>
    <row r="367" spans="1:8" x14ac:dyDescent="0.25">
      <c r="A367" s="524" t="s">
        <v>228</v>
      </c>
      <c r="B367" s="524" t="s">
        <v>880</v>
      </c>
      <c r="C367" s="526"/>
      <c r="D367" s="526"/>
      <c r="E367" s="526">
        <f>SUM(D368+D373)</f>
        <v>311947</v>
      </c>
      <c r="F367" s="528"/>
      <c r="G367" s="378"/>
      <c r="H367" s="378"/>
    </row>
    <row r="368" spans="1:8" x14ac:dyDescent="0.25">
      <c r="A368" s="524"/>
      <c r="B368" s="524" t="s">
        <v>881</v>
      </c>
      <c r="C368" s="526"/>
      <c r="D368" s="526">
        <f>SUM(D369:D370)</f>
        <v>311947</v>
      </c>
      <c r="E368" s="526"/>
      <c r="F368" s="528"/>
      <c r="G368" s="378"/>
      <c r="H368" s="378"/>
    </row>
    <row r="369" spans="1:8" x14ac:dyDescent="0.25">
      <c r="A369" s="524"/>
      <c r="B369" s="527" t="s">
        <v>1369</v>
      </c>
      <c r="C369" s="528">
        <f>SUM(D356)</f>
        <v>167400</v>
      </c>
      <c r="D369" s="327">
        <f>SUM(C369*0.155)</f>
        <v>25947</v>
      </c>
      <c r="E369" s="526"/>
      <c r="F369" s="528"/>
      <c r="G369" s="378"/>
      <c r="H369" s="378"/>
    </row>
    <row r="370" spans="1:8" x14ac:dyDescent="0.25">
      <c r="A370" s="524"/>
      <c r="B370" s="527" t="s">
        <v>1370</v>
      </c>
      <c r="C370" s="528">
        <f>SUM(D357)</f>
        <v>2200000</v>
      </c>
      <c r="D370" s="327">
        <f>SUM(C370*0.13)</f>
        <v>286000</v>
      </c>
      <c r="E370" s="526"/>
      <c r="F370" s="528"/>
      <c r="G370" s="378"/>
      <c r="H370" s="378"/>
    </row>
    <row r="371" spans="1:8" x14ac:dyDescent="0.25">
      <c r="A371" s="524"/>
      <c r="B371" s="527" t="s">
        <v>1295</v>
      </c>
      <c r="C371" s="528">
        <f>SUM(D359*0.155)</f>
        <v>0</v>
      </c>
      <c r="D371" s="526"/>
      <c r="E371" s="526"/>
      <c r="F371" s="528"/>
      <c r="G371" s="378"/>
      <c r="H371" s="378"/>
    </row>
    <row r="372" spans="1:8" x14ac:dyDescent="0.25">
      <c r="A372" s="527"/>
      <c r="B372" s="527" t="s">
        <v>1208</v>
      </c>
      <c r="C372" s="528">
        <f>SUM(E360*0.155)</f>
        <v>0</v>
      </c>
      <c r="D372" s="528"/>
      <c r="E372" s="528"/>
      <c r="F372" s="528"/>
      <c r="G372" s="378"/>
      <c r="H372" s="378"/>
    </row>
    <row r="373" spans="1:8" x14ac:dyDescent="0.25">
      <c r="A373" s="527"/>
      <c r="B373" s="524" t="s">
        <v>883</v>
      </c>
      <c r="C373" s="528"/>
      <c r="D373" s="526">
        <f>SUM(C374)</f>
        <v>0</v>
      </c>
      <c r="E373" s="528"/>
      <c r="F373" s="528"/>
      <c r="G373" s="378"/>
      <c r="H373" s="378"/>
    </row>
    <row r="374" spans="1:8" x14ac:dyDescent="0.25">
      <c r="A374" s="527"/>
      <c r="B374" s="527" t="s">
        <v>884</v>
      </c>
      <c r="C374" s="528">
        <f>SUM(E362*0.15)</f>
        <v>0</v>
      </c>
      <c r="D374" s="528"/>
      <c r="E374" s="528"/>
      <c r="F374" s="528"/>
      <c r="G374" s="378"/>
      <c r="H374" s="378"/>
    </row>
    <row r="375" spans="1:8" x14ac:dyDescent="0.25">
      <c r="A375" s="530" t="s">
        <v>885</v>
      </c>
      <c r="B375" s="535"/>
      <c r="C375" s="544"/>
      <c r="D375" s="544"/>
      <c r="E375" s="544"/>
      <c r="F375" s="533">
        <f>SUM(E367:E374)</f>
        <v>311947</v>
      </c>
      <c r="G375" s="378"/>
      <c r="H375" s="378"/>
    </row>
    <row r="376" spans="1:8" x14ac:dyDescent="0.25">
      <c r="A376" s="524" t="s">
        <v>230</v>
      </c>
      <c r="B376" s="524" t="s">
        <v>891</v>
      </c>
      <c r="C376" s="526"/>
      <c r="D376" s="526"/>
      <c r="E376" s="526">
        <f>SUM(D377:D378)</f>
        <v>500000</v>
      </c>
      <c r="F376" s="542"/>
      <c r="G376" s="378"/>
      <c r="H376" s="378"/>
    </row>
    <row r="377" spans="1:8" x14ac:dyDescent="0.25">
      <c r="A377" s="527"/>
      <c r="B377" s="527" t="s">
        <v>958</v>
      </c>
      <c r="C377" s="528"/>
      <c r="D377" s="528">
        <v>385000</v>
      </c>
      <c r="E377" s="528"/>
      <c r="F377" s="542"/>
      <c r="G377" s="378"/>
      <c r="H377" s="378"/>
    </row>
    <row r="378" spans="1:8" x14ac:dyDescent="0.25">
      <c r="A378" s="527"/>
      <c r="B378" s="527" t="s">
        <v>969</v>
      </c>
      <c r="C378" s="528"/>
      <c r="D378" s="528">
        <v>115000</v>
      </c>
      <c r="E378" s="528"/>
      <c r="F378" s="542"/>
      <c r="G378" s="378"/>
      <c r="H378" s="378"/>
    </row>
    <row r="379" spans="1:8" x14ac:dyDescent="0.25">
      <c r="A379" s="299" t="s">
        <v>240</v>
      </c>
      <c r="B379" s="299" t="s">
        <v>158</v>
      </c>
      <c r="C379" s="325"/>
      <c r="D379" s="325"/>
      <c r="E379" s="325">
        <f>SUM(D380)</f>
        <v>66000</v>
      </c>
      <c r="F379" s="542"/>
      <c r="G379" s="378"/>
      <c r="H379" s="378"/>
    </row>
    <row r="380" spans="1:8" x14ac:dyDescent="0.25">
      <c r="A380" s="527"/>
      <c r="B380" s="527" t="s">
        <v>1371</v>
      </c>
      <c r="C380" s="528"/>
      <c r="D380" s="528">
        <f>SUM(C381:C383)</f>
        <v>66000</v>
      </c>
      <c r="E380" s="528"/>
      <c r="F380" s="542"/>
      <c r="G380" s="378"/>
      <c r="H380" s="378"/>
    </row>
    <row r="381" spans="1:8" x14ac:dyDescent="0.25">
      <c r="A381" s="527"/>
      <c r="B381" s="527" t="s">
        <v>965</v>
      </c>
      <c r="C381" s="528">
        <v>44000</v>
      </c>
      <c r="D381" s="528"/>
      <c r="E381" s="528"/>
      <c r="F381" s="542"/>
      <c r="G381" s="378"/>
      <c r="H381" s="378"/>
    </row>
    <row r="382" spans="1:8" x14ac:dyDescent="0.25">
      <c r="A382" s="527"/>
      <c r="B382" s="527" t="s">
        <v>967</v>
      </c>
      <c r="C382" s="528">
        <v>20000</v>
      </c>
      <c r="D382" s="528"/>
      <c r="E382" s="528"/>
      <c r="F382" s="542"/>
      <c r="G382" s="378"/>
      <c r="H382" s="378"/>
    </row>
    <row r="383" spans="1:8" x14ac:dyDescent="0.25">
      <c r="A383" s="527"/>
      <c r="B383" s="527" t="s">
        <v>966</v>
      </c>
      <c r="C383" s="528">
        <v>2000</v>
      </c>
      <c r="D383" s="528"/>
      <c r="E383" s="528"/>
      <c r="F383" s="542"/>
      <c r="G383" s="378"/>
      <c r="H383" s="378"/>
    </row>
    <row r="384" spans="1:8" x14ac:dyDescent="0.25">
      <c r="A384" s="524" t="s">
        <v>243</v>
      </c>
      <c r="B384" s="524" t="s">
        <v>902</v>
      </c>
      <c r="C384" s="526"/>
      <c r="D384" s="526"/>
      <c r="E384" s="526">
        <f>SUM(D385:D385)</f>
        <v>150000</v>
      </c>
      <c r="F384" s="542"/>
      <c r="G384" s="378"/>
      <c r="H384" s="378"/>
    </row>
    <row r="385" spans="1:8" x14ac:dyDescent="0.25">
      <c r="A385" s="527"/>
      <c r="B385" s="527" t="s">
        <v>1008</v>
      </c>
      <c r="C385" s="528"/>
      <c r="D385" s="528">
        <v>150000</v>
      </c>
      <c r="E385" s="528"/>
      <c r="F385" s="542"/>
      <c r="G385" s="378"/>
      <c r="H385" s="378"/>
    </row>
    <row r="386" spans="1:8" x14ac:dyDescent="0.25">
      <c r="A386" s="524" t="s">
        <v>247</v>
      </c>
      <c r="B386" s="524" t="s">
        <v>146</v>
      </c>
      <c r="C386" s="526"/>
      <c r="D386" s="526"/>
      <c r="E386" s="526">
        <f>SUM(D387:D392)</f>
        <v>500000</v>
      </c>
      <c r="F386" s="542"/>
      <c r="G386" s="378"/>
      <c r="H386" s="378"/>
    </row>
    <row r="387" spans="1:8" x14ac:dyDescent="0.25">
      <c r="A387" s="527"/>
      <c r="B387" s="527" t="s">
        <v>949</v>
      </c>
      <c r="C387" s="528"/>
      <c r="D387" s="528">
        <v>200000</v>
      </c>
      <c r="E387" s="528"/>
      <c r="F387" s="542"/>
      <c r="G387" s="378"/>
      <c r="H387" s="378"/>
    </row>
    <row r="388" spans="1:8" x14ac:dyDescent="0.25">
      <c r="A388" s="527"/>
      <c r="B388" s="527" t="s">
        <v>948</v>
      </c>
      <c r="C388" s="528">
        <v>7000</v>
      </c>
      <c r="D388" s="528">
        <f>SUM(C388*1)</f>
        <v>7000</v>
      </c>
      <c r="E388" s="528"/>
      <c r="F388" s="542"/>
      <c r="G388" s="378"/>
      <c r="H388" s="378"/>
    </row>
    <row r="389" spans="1:8" x14ac:dyDescent="0.25">
      <c r="A389" s="527"/>
      <c r="B389" s="527" t="s">
        <v>1417</v>
      </c>
      <c r="C389" s="528"/>
      <c r="D389" s="528">
        <v>40000</v>
      </c>
      <c r="E389" s="528"/>
      <c r="F389" s="542"/>
      <c r="G389" s="378"/>
      <c r="H389" s="378"/>
    </row>
    <row r="390" spans="1:8" x14ac:dyDescent="0.25">
      <c r="A390" s="527"/>
      <c r="B390" s="527" t="s">
        <v>1010</v>
      </c>
      <c r="C390" s="528"/>
      <c r="D390" s="528">
        <v>16000</v>
      </c>
      <c r="E390" s="528"/>
      <c r="F390" s="542"/>
      <c r="G390" s="378"/>
      <c r="H390" s="378"/>
    </row>
    <row r="391" spans="1:8" x14ac:dyDescent="0.25">
      <c r="A391" s="527"/>
      <c r="B391" s="527" t="s">
        <v>146</v>
      </c>
      <c r="C391" s="528"/>
      <c r="D391" s="528">
        <v>37000</v>
      </c>
      <c r="E391" s="528"/>
      <c r="F391" s="542"/>
      <c r="G391" s="378"/>
      <c r="H391" s="378"/>
    </row>
    <row r="392" spans="1:8" x14ac:dyDescent="0.25">
      <c r="A392" s="527"/>
      <c r="B392" s="527" t="s">
        <v>1009</v>
      </c>
      <c r="C392" s="528"/>
      <c r="D392" s="528">
        <v>200000</v>
      </c>
      <c r="E392" s="528"/>
      <c r="F392" s="542"/>
      <c r="G392" s="378"/>
      <c r="H392" s="378"/>
    </row>
    <row r="393" spans="1:8" x14ac:dyDescent="0.25">
      <c r="A393" s="524" t="s">
        <v>255</v>
      </c>
      <c r="B393" s="524" t="s">
        <v>888</v>
      </c>
      <c r="C393" s="526"/>
      <c r="D393" s="526"/>
      <c r="E393" s="526">
        <v>300000</v>
      </c>
      <c r="F393" s="542"/>
      <c r="G393" s="522"/>
      <c r="H393" s="378"/>
    </row>
    <row r="394" spans="1:8" x14ac:dyDescent="0.25">
      <c r="A394" s="524" t="s">
        <v>262</v>
      </c>
      <c r="B394" s="524" t="s">
        <v>175</v>
      </c>
      <c r="C394" s="529"/>
      <c r="D394" s="529"/>
      <c r="E394" s="526">
        <f>SUM(D395)</f>
        <v>1000</v>
      </c>
      <c r="F394" s="529"/>
      <c r="G394" s="522"/>
      <c r="H394" s="378"/>
    </row>
    <row r="395" spans="1:8" x14ac:dyDescent="0.25">
      <c r="A395" s="527"/>
      <c r="B395" s="527"/>
      <c r="C395" s="528"/>
      <c r="D395" s="528">
        <v>1000</v>
      </c>
      <c r="E395" s="528"/>
      <c r="F395" s="528"/>
      <c r="G395" s="378"/>
      <c r="H395" s="378"/>
    </row>
    <row r="396" spans="1:8" ht="15.75" thickBot="1" x14ac:dyDescent="0.3">
      <c r="A396" s="530" t="s">
        <v>889</v>
      </c>
      <c r="B396" s="535"/>
      <c r="C396" s="544"/>
      <c r="D396" s="544"/>
      <c r="E396" s="544"/>
      <c r="F396" s="533">
        <f>SUM(E376:E395)</f>
        <v>1517000</v>
      </c>
      <c r="G396" s="378"/>
      <c r="H396" s="378"/>
    </row>
    <row r="397" spans="1:8" ht="15.75" thickBot="1" x14ac:dyDescent="0.3">
      <c r="A397" s="527"/>
      <c r="B397" s="527"/>
      <c r="C397" s="528"/>
      <c r="D397" s="528"/>
      <c r="E397" s="528"/>
      <c r="F397" s="539">
        <f>SUM(F366:F396)</f>
        <v>4196347</v>
      </c>
      <c r="G397" s="378"/>
      <c r="H397" s="378"/>
    </row>
    <row r="398" spans="1:8" x14ac:dyDescent="0.25">
      <c r="A398" s="522"/>
      <c r="B398" s="522"/>
      <c r="C398" s="542"/>
      <c r="D398" s="542"/>
      <c r="E398" s="542"/>
      <c r="F398" s="542"/>
      <c r="G398" s="378"/>
      <c r="H398" s="378"/>
    </row>
    <row r="399" spans="1:8" ht="15.75" thickBot="1" x14ac:dyDescent="0.3">
      <c r="A399" s="522"/>
      <c r="B399" s="522"/>
      <c r="C399" s="542"/>
      <c r="D399" s="542"/>
      <c r="E399" s="542"/>
      <c r="F399" s="542"/>
      <c r="G399" s="378"/>
      <c r="H399" s="378"/>
    </row>
    <row r="400" spans="1:8" ht="15.75" thickBot="1" x14ac:dyDescent="0.3">
      <c r="A400" s="726" t="s">
        <v>156</v>
      </c>
      <c r="B400" s="727"/>
      <c r="C400" s="727"/>
      <c r="D400" s="727"/>
      <c r="E400" s="727"/>
      <c r="F400" s="728"/>
      <c r="G400" s="378"/>
      <c r="H400" s="378"/>
    </row>
    <row r="401" spans="1:8" x14ac:dyDescent="0.25">
      <c r="A401" s="522"/>
      <c r="B401" s="522"/>
      <c r="C401" s="542"/>
      <c r="D401" s="542"/>
      <c r="E401" s="542"/>
      <c r="F401" s="542"/>
      <c r="G401" s="378"/>
      <c r="H401" s="378"/>
    </row>
    <row r="402" spans="1:8" x14ac:dyDescent="0.25">
      <c r="A402" s="524" t="s">
        <v>242</v>
      </c>
      <c r="B402" s="524" t="s">
        <v>901</v>
      </c>
      <c r="C402" s="526"/>
      <c r="D402" s="526"/>
      <c r="E402" s="526">
        <f>SUM(D403)</f>
        <v>28000</v>
      </c>
      <c r="F402" s="542"/>
      <c r="G402" s="378"/>
      <c r="H402" s="378"/>
    </row>
    <row r="403" spans="1:8" x14ac:dyDescent="0.25">
      <c r="A403" s="527"/>
      <c r="B403" s="527" t="s">
        <v>1011</v>
      </c>
      <c r="C403" s="528"/>
      <c r="D403" s="528">
        <v>28000</v>
      </c>
      <c r="E403" s="528"/>
      <c r="F403" s="542"/>
      <c r="G403" s="378"/>
      <c r="H403" s="378"/>
    </row>
    <row r="404" spans="1:8" x14ac:dyDescent="0.25">
      <c r="A404" s="524" t="s">
        <v>243</v>
      </c>
      <c r="B404" s="524" t="s">
        <v>902</v>
      </c>
      <c r="C404" s="526"/>
      <c r="D404" s="526"/>
      <c r="E404" s="526">
        <f>SUM(D405:D405)</f>
        <v>0</v>
      </c>
      <c r="F404" s="542"/>
      <c r="G404" s="378"/>
      <c r="H404" s="378"/>
    </row>
    <row r="405" spans="1:8" x14ac:dyDescent="0.25">
      <c r="A405" s="527"/>
      <c r="B405" s="527"/>
      <c r="C405" s="528"/>
      <c r="D405" s="528">
        <v>0</v>
      </c>
      <c r="E405" s="528"/>
      <c r="F405" s="542"/>
      <c r="G405" s="378"/>
      <c r="H405" s="378"/>
    </row>
    <row r="406" spans="1:8" x14ac:dyDescent="0.25">
      <c r="A406" s="524" t="s">
        <v>244</v>
      </c>
      <c r="B406" s="524" t="s">
        <v>919</v>
      </c>
      <c r="C406" s="526"/>
      <c r="D406" s="526"/>
      <c r="E406" s="526">
        <f>SUM(D407:D412)</f>
        <v>860000</v>
      </c>
      <c r="F406" s="542"/>
      <c r="G406" s="378"/>
      <c r="H406" s="378"/>
    </row>
    <row r="407" spans="1:8" x14ac:dyDescent="0.25">
      <c r="A407" s="524"/>
      <c r="B407" s="527" t="s">
        <v>896</v>
      </c>
      <c r="C407" s="528">
        <v>4000</v>
      </c>
      <c r="D407" s="528">
        <f>SUM(C407*12)</f>
        <v>48000</v>
      </c>
      <c r="E407" s="526"/>
      <c r="F407" s="542"/>
      <c r="G407" s="378"/>
      <c r="H407" s="378"/>
    </row>
    <row r="408" spans="1:8" x14ac:dyDescent="0.25">
      <c r="A408" s="524"/>
      <c r="B408" s="527" t="s">
        <v>898</v>
      </c>
      <c r="C408" s="528">
        <v>25000</v>
      </c>
      <c r="D408" s="528">
        <f t="shared" ref="D408:D410" si="0">SUM(C408*12)</f>
        <v>300000</v>
      </c>
      <c r="E408" s="526"/>
      <c r="F408" s="542"/>
      <c r="G408" s="378"/>
      <c r="H408" s="378"/>
    </row>
    <row r="409" spans="1:8" x14ac:dyDescent="0.25">
      <c r="A409" s="524"/>
      <c r="B409" s="527" t="s">
        <v>899</v>
      </c>
      <c r="C409" s="528">
        <v>5000</v>
      </c>
      <c r="D409" s="528">
        <f t="shared" si="0"/>
        <v>60000</v>
      </c>
      <c r="E409" s="526"/>
      <c r="F409" s="542"/>
      <c r="G409" s="378"/>
      <c r="H409" s="378"/>
    </row>
    <row r="410" spans="1:8" x14ac:dyDescent="0.25">
      <c r="A410" s="527"/>
      <c r="B410" s="527" t="s">
        <v>900</v>
      </c>
      <c r="C410" s="528">
        <v>33000</v>
      </c>
      <c r="D410" s="528">
        <f t="shared" si="0"/>
        <v>396000</v>
      </c>
      <c r="E410" s="528"/>
      <c r="F410" s="542"/>
      <c r="G410" s="378"/>
      <c r="H410" s="378"/>
    </row>
    <row r="411" spans="1:8" x14ac:dyDescent="0.25">
      <c r="A411" s="527"/>
      <c r="B411" s="527" t="s">
        <v>1012</v>
      </c>
      <c r="C411" s="528">
        <v>10000</v>
      </c>
      <c r="D411" s="528">
        <f>SUM(C411*4)</f>
        <v>40000</v>
      </c>
      <c r="E411" s="528"/>
      <c r="F411" s="542"/>
      <c r="G411" s="378"/>
      <c r="H411" s="378"/>
    </row>
    <row r="412" spans="1:8" x14ac:dyDescent="0.25">
      <c r="A412" s="527"/>
      <c r="B412" s="527" t="s">
        <v>906</v>
      </c>
      <c r="C412" s="528">
        <v>4000</v>
      </c>
      <c r="D412" s="528">
        <f>SUM(C412*4)</f>
        <v>16000</v>
      </c>
      <c r="E412" s="528"/>
      <c r="F412" s="542"/>
      <c r="G412" s="378"/>
      <c r="H412" s="378"/>
    </row>
    <row r="413" spans="1:8" x14ac:dyDescent="0.25">
      <c r="A413" s="524" t="s">
        <v>247</v>
      </c>
      <c r="B413" s="524" t="s">
        <v>146</v>
      </c>
      <c r="C413" s="526"/>
      <c r="D413" s="526"/>
      <c r="E413" s="526">
        <f>SUM(D414)</f>
        <v>0</v>
      </c>
      <c r="F413" s="542"/>
      <c r="G413" s="378"/>
      <c r="H413" s="378"/>
    </row>
    <row r="414" spans="1:8" x14ac:dyDescent="0.25">
      <c r="A414" s="524"/>
      <c r="B414" s="524"/>
      <c r="C414" s="526"/>
      <c r="D414" s="526">
        <v>0</v>
      </c>
      <c r="E414" s="526"/>
      <c r="F414" s="542"/>
      <c r="G414" s="378"/>
      <c r="H414" s="378"/>
    </row>
    <row r="415" spans="1:8" x14ac:dyDescent="0.25">
      <c r="A415" s="524" t="s">
        <v>255</v>
      </c>
      <c r="B415" s="524" t="s">
        <v>888</v>
      </c>
      <c r="C415" s="526"/>
      <c r="D415" s="526"/>
      <c r="E415" s="526">
        <v>200000</v>
      </c>
      <c r="F415" s="528"/>
      <c r="G415" s="378"/>
      <c r="H415" s="378"/>
    </row>
    <row r="416" spans="1:8" ht="15.75" thickBot="1" x14ac:dyDescent="0.3">
      <c r="A416" s="530" t="s">
        <v>889</v>
      </c>
      <c r="B416" s="535"/>
      <c r="C416" s="544"/>
      <c r="D416" s="544"/>
      <c r="E416" s="544"/>
      <c r="F416" s="533">
        <f>SUM(E402:E415)</f>
        <v>1088000</v>
      </c>
      <c r="G416" s="378"/>
      <c r="H416" s="378"/>
    </row>
    <row r="417" spans="1:8" ht="15.75" thickBot="1" x14ac:dyDescent="0.3">
      <c r="A417" s="724" t="s">
        <v>1342</v>
      </c>
      <c r="B417" s="724"/>
      <c r="C417" s="528"/>
      <c r="D417" s="528"/>
      <c r="E417" s="528"/>
      <c r="F417" s="539">
        <f>SUM(F416)</f>
        <v>1088000</v>
      </c>
      <c r="G417" s="378"/>
      <c r="H417" s="378"/>
    </row>
    <row r="418" spans="1:8" x14ac:dyDescent="0.25">
      <c r="A418" s="522"/>
      <c r="B418" s="522"/>
      <c r="C418" s="523"/>
      <c r="D418" s="523"/>
      <c r="E418" s="523"/>
      <c r="F418" s="523"/>
      <c r="G418" s="378"/>
      <c r="H418" s="378"/>
    </row>
    <row r="419" spans="1:8" ht="15.75" thickBot="1" x14ac:dyDescent="0.3">
      <c r="A419" s="522"/>
      <c r="B419" s="522"/>
      <c r="C419" s="523"/>
      <c r="D419" s="523"/>
      <c r="E419" s="523"/>
      <c r="F419" s="523"/>
      <c r="G419" s="378"/>
      <c r="H419" s="378"/>
    </row>
    <row r="420" spans="1:8" ht="15.75" thickBot="1" x14ac:dyDescent="0.3">
      <c r="A420" s="726" t="s">
        <v>1013</v>
      </c>
      <c r="B420" s="727"/>
      <c r="C420" s="727"/>
      <c r="D420" s="727"/>
      <c r="E420" s="727"/>
      <c r="F420" s="728"/>
      <c r="G420" s="378"/>
      <c r="H420" s="378"/>
    </row>
    <row r="421" spans="1:8" x14ac:dyDescent="0.25">
      <c r="A421" s="606"/>
      <c r="B421" s="606"/>
      <c r="C421" s="606"/>
      <c r="D421" s="606"/>
      <c r="E421" s="606"/>
      <c r="F421" s="606"/>
      <c r="G421" s="378"/>
      <c r="H421" s="378"/>
    </row>
    <row r="422" spans="1:8" x14ac:dyDescent="0.25">
      <c r="A422" s="524" t="s">
        <v>247</v>
      </c>
      <c r="B422" s="736" t="s">
        <v>146</v>
      </c>
      <c r="C422" s="736"/>
      <c r="D422" s="526"/>
      <c r="E422" s="526">
        <f>SUM(D423)</f>
        <v>1591048</v>
      </c>
      <c r="F422" s="528"/>
      <c r="G422" s="378"/>
      <c r="H422" s="378"/>
    </row>
    <row r="423" spans="1:8" x14ac:dyDescent="0.25">
      <c r="A423" s="527"/>
      <c r="B423" s="527" t="s">
        <v>1014</v>
      </c>
      <c r="C423" s="529"/>
      <c r="D423" s="528">
        <v>1591048</v>
      </c>
      <c r="E423" s="528"/>
      <c r="F423" s="528"/>
      <c r="G423" s="378"/>
      <c r="H423" s="378"/>
    </row>
    <row r="424" spans="1:8" x14ac:dyDescent="0.25">
      <c r="A424" s="527"/>
      <c r="B424" s="527"/>
      <c r="C424" s="529"/>
      <c r="D424" s="528"/>
      <c r="E424" s="528"/>
      <c r="F424" s="528"/>
      <c r="G424" s="378"/>
      <c r="H424" s="378"/>
    </row>
    <row r="425" spans="1:8" ht="15.75" thickBot="1" x14ac:dyDescent="0.3">
      <c r="A425" s="530" t="s">
        <v>986</v>
      </c>
      <c r="B425" s="535"/>
      <c r="C425" s="538"/>
      <c r="D425" s="544"/>
      <c r="E425" s="544"/>
      <c r="F425" s="533">
        <f>SUM(E422:E424)</f>
        <v>1591048</v>
      </c>
      <c r="G425" s="378"/>
      <c r="H425" s="378"/>
    </row>
    <row r="426" spans="1:8" ht="15.75" thickBot="1" x14ac:dyDescent="0.3">
      <c r="A426" s="724" t="s">
        <v>1342</v>
      </c>
      <c r="B426" s="724"/>
      <c r="C426" s="523"/>
      <c r="D426" s="542"/>
      <c r="E426" s="542"/>
      <c r="F426" s="539">
        <f>SUM(F425)</f>
        <v>1591048</v>
      </c>
      <c r="G426" s="378"/>
      <c r="H426" s="378"/>
    </row>
    <row r="427" spans="1:8" x14ac:dyDescent="0.25">
      <c r="A427" s="522"/>
      <c r="B427" s="522"/>
      <c r="C427" s="523"/>
      <c r="D427" s="542"/>
      <c r="E427" s="542"/>
      <c r="F427" s="542"/>
      <c r="G427" s="378"/>
      <c r="H427" s="378"/>
    </row>
    <row r="428" spans="1:8" x14ac:dyDescent="0.25">
      <c r="A428" s="522"/>
      <c r="B428" s="522"/>
      <c r="C428" s="523"/>
      <c r="D428" s="542"/>
      <c r="E428" s="542"/>
      <c r="F428" s="542"/>
      <c r="G428" s="378"/>
      <c r="H428" s="378"/>
    </row>
    <row r="429" spans="1:8" x14ac:dyDescent="0.25">
      <c r="A429" s="723" t="s">
        <v>1015</v>
      </c>
      <c r="B429" s="723"/>
      <c r="C429" s="723"/>
      <c r="D429" s="723"/>
      <c r="E429" s="723"/>
      <c r="F429" s="723"/>
      <c r="G429" s="378"/>
      <c r="H429" s="378"/>
    </row>
    <row r="430" spans="1:8" x14ac:dyDescent="0.25">
      <c r="A430" s="522"/>
      <c r="B430" s="522"/>
      <c r="C430" s="523"/>
      <c r="D430" s="523"/>
      <c r="E430" s="523"/>
      <c r="F430" s="523"/>
      <c r="G430" s="378"/>
      <c r="H430" s="378"/>
    </row>
    <row r="431" spans="1:8" x14ac:dyDescent="0.25">
      <c r="A431" s="524" t="s">
        <v>195</v>
      </c>
      <c r="B431" s="524" t="s">
        <v>877</v>
      </c>
      <c r="C431" s="528"/>
      <c r="D431" s="528"/>
      <c r="E431" s="526">
        <f>SUM(D432:D434)</f>
        <v>25582661</v>
      </c>
      <c r="F431" s="542"/>
      <c r="G431" s="378"/>
      <c r="H431" s="378"/>
    </row>
    <row r="432" spans="1:8" x14ac:dyDescent="0.25">
      <c r="A432" s="527"/>
      <c r="B432" s="527" t="s">
        <v>1016</v>
      </c>
      <c r="C432" s="528">
        <v>1666000</v>
      </c>
      <c r="D432" s="528">
        <f>SUM(C432*1)</f>
        <v>1666000</v>
      </c>
      <c r="E432" s="528"/>
      <c r="F432" s="542"/>
      <c r="G432" s="378"/>
      <c r="H432" s="378"/>
    </row>
    <row r="433" spans="1:8" x14ac:dyDescent="0.25">
      <c r="A433" s="527"/>
      <c r="B433" s="527"/>
      <c r="C433" s="552">
        <v>2142051</v>
      </c>
      <c r="D433" s="552">
        <f>SUM(C433*11)</f>
        <v>23562561</v>
      </c>
      <c r="E433" s="528"/>
      <c r="F433" s="542"/>
      <c r="G433" s="378"/>
      <c r="H433" s="378"/>
    </row>
    <row r="434" spans="1:8" x14ac:dyDescent="0.25">
      <c r="A434" s="527"/>
      <c r="B434" s="527" t="s">
        <v>1017</v>
      </c>
      <c r="C434" s="528">
        <v>354100</v>
      </c>
      <c r="D434" s="528">
        <f>SUM(C434*1)</f>
        <v>354100</v>
      </c>
      <c r="E434" s="528"/>
      <c r="F434" s="542"/>
      <c r="G434" s="378"/>
      <c r="H434" s="378"/>
    </row>
    <row r="435" spans="1:8" x14ac:dyDescent="0.25">
      <c r="A435" s="527"/>
      <c r="B435" s="527"/>
      <c r="C435" s="552">
        <v>440232</v>
      </c>
      <c r="D435" s="552">
        <f>SUM(C435*11)</f>
        <v>4842552</v>
      </c>
      <c r="E435" s="528"/>
      <c r="F435" s="542"/>
      <c r="G435" s="378"/>
      <c r="H435" s="378"/>
    </row>
    <row r="436" spans="1:8" x14ac:dyDescent="0.25">
      <c r="A436" s="524" t="s">
        <v>197</v>
      </c>
      <c r="B436" s="524" t="s">
        <v>23</v>
      </c>
      <c r="C436" s="526"/>
      <c r="D436" s="526"/>
      <c r="E436" s="526">
        <f>SUM(D437)</f>
        <v>0</v>
      </c>
      <c r="F436" s="542"/>
      <c r="G436" s="378"/>
      <c r="H436" s="378"/>
    </row>
    <row r="437" spans="1:8" x14ac:dyDescent="0.25">
      <c r="A437" s="527"/>
      <c r="B437" s="527">
        <v>0</v>
      </c>
      <c r="C437" s="528"/>
      <c r="D437" s="528">
        <v>0</v>
      </c>
      <c r="E437" s="528"/>
      <c r="F437" s="542"/>
      <c r="G437" s="378"/>
      <c r="H437" s="378"/>
    </row>
    <row r="438" spans="1:8" x14ac:dyDescent="0.25">
      <c r="A438" s="524" t="s">
        <v>204</v>
      </c>
      <c r="B438" s="524" t="s">
        <v>16</v>
      </c>
      <c r="C438" s="526"/>
      <c r="D438" s="526"/>
      <c r="E438" s="526">
        <f>SUM(D439)</f>
        <v>0</v>
      </c>
      <c r="F438" s="542"/>
      <c r="G438" s="378"/>
      <c r="H438" s="378"/>
    </row>
    <row r="439" spans="1:8" x14ac:dyDescent="0.25">
      <c r="A439" s="527"/>
      <c r="B439" s="527"/>
      <c r="C439" s="528">
        <v>0</v>
      </c>
      <c r="D439" s="528">
        <f>SUM(C439*2)</f>
        <v>0</v>
      </c>
      <c r="E439" s="528"/>
      <c r="F439" s="542"/>
      <c r="G439" s="378"/>
      <c r="H439" s="378"/>
    </row>
    <row r="440" spans="1:8" x14ac:dyDescent="0.25">
      <c r="A440" s="524" t="s">
        <v>206</v>
      </c>
      <c r="B440" s="524" t="s">
        <v>205</v>
      </c>
      <c r="C440" s="526"/>
      <c r="D440" s="526"/>
      <c r="E440" s="526">
        <f>SUM(D441:D442)</f>
        <v>240000</v>
      </c>
      <c r="F440" s="542"/>
      <c r="G440" s="378"/>
      <c r="H440" s="378"/>
    </row>
    <row r="441" spans="1:8" x14ac:dyDescent="0.25">
      <c r="A441" s="527"/>
      <c r="B441" s="527" t="s">
        <v>1372</v>
      </c>
      <c r="C441" s="528"/>
      <c r="D441" s="528">
        <v>120000</v>
      </c>
      <c r="E441" s="528"/>
      <c r="F441" s="542"/>
      <c r="G441" s="378"/>
      <c r="H441" s="378"/>
    </row>
    <row r="442" spans="1:8" x14ac:dyDescent="0.25">
      <c r="A442" s="527"/>
      <c r="B442" s="527" t="s">
        <v>41</v>
      </c>
      <c r="C442" s="528"/>
      <c r="D442" s="528">
        <v>120000</v>
      </c>
      <c r="E442" s="528"/>
      <c r="F442" s="542"/>
      <c r="G442" s="378"/>
      <c r="H442" s="378"/>
    </row>
    <row r="443" spans="1:8" x14ac:dyDescent="0.25">
      <c r="A443" s="524" t="s">
        <v>208</v>
      </c>
      <c r="B443" s="524" t="s">
        <v>34</v>
      </c>
      <c r="C443" s="526"/>
      <c r="D443" s="526"/>
      <c r="E443" s="526">
        <f>SUM(D444)</f>
        <v>61320</v>
      </c>
      <c r="F443" s="542"/>
      <c r="G443" s="378"/>
      <c r="H443" s="378"/>
    </row>
    <row r="444" spans="1:8" x14ac:dyDescent="0.25">
      <c r="A444" s="527"/>
      <c r="B444" s="527" t="s">
        <v>1018</v>
      </c>
      <c r="C444" s="528">
        <v>5110</v>
      </c>
      <c r="D444" s="528">
        <f>SUM(C444*12)</f>
        <v>61320</v>
      </c>
      <c r="E444" s="528"/>
      <c r="F444" s="542"/>
      <c r="G444" s="378"/>
      <c r="H444" s="378"/>
    </row>
    <row r="445" spans="1:8" x14ac:dyDescent="0.25">
      <c r="A445" s="524" t="s">
        <v>210</v>
      </c>
      <c r="B445" s="524" t="s">
        <v>878</v>
      </c>
      <c r="C445" s="526"/>
      <c r="D445" s="526"/>
      <c r="E445" s="526">
        <f>SUM(D446:D446)</f>
        <v>0</v>
      </c>
      <c r="F445" s="542"/>
      <c r="G445" s="378"/>
      <c r="H445" s="378"/>
    </row>
    <row r="446" spans="1:8" x14ac:dyDescent="0.25">
      <c r="A446" s="527"/>
      <c r="B446" s="527"/>
      <c r="C446" s="528"/>
      <c r="D446" s="528">
        <f>SUM(C446*2)</f>
        <v>0</v>
      </c>
      <c r="E446" s="528"/>
      <c r="F446" s="542"/>
      <c r="G446" s="378"/>
      <c r="H446" s="378"/>
    </row>
    <row r="447" spans="1:8" x14ac:dyDescent="0.25">
      <c r="A447" s="524" t="s">
        <v>216</v>
      </c>
      <c r="B447" s="524" t="s">
        <v>1019</v>
      </c>
      <c r="C447" s="526"/>
      <c r="D447" s="526"/>
      <c r="E447" s="526">
        <f>SUM(D448)</f>
        <v>3840000</v>
      </c>
      <c r="F447" s="542"/>
      <c r="G447" s="378"/>
      <c r="H447" s="378"/>
    </row>
    <row r="448" spans="1:8" x14ac:dyDescent="0.25">
      <c r="A448" s="527"/>
      <c r="B448" s="527" t="s">
        <v>1020</v>
      </c>
      <c r="C448" s="552">
        <v>320000</v>
      </c>
      <c r="D448" s="528">
        <f>SUM(C448*12)</f>
        <v>3840000</v>
      </c>
      <c r="E448" s="528"/>
      <c r="F448" s="542"/>
      <c r="G448" s="378"/>
      <c r="H448" s="378"/>
    </row>
    <row r="449" spans="1:8" x14ac:dyDescent="0.25">
      <c r="A449" s="527"/>
      <c r="B449" s="527">
        <v>0</v>
      </c>
      <c r="C449" s="528"/>
      <c r="D449" s="528">
        <v>0</v>
      </c>
      <c r="E449" s="528"/>
      <c r="F449" s="542"/>
      <c r="G449" s="378"/>
      <c r="H449" s="378"/>
    </row>
    <row r="450" spans="1:8" x14ac:dyDescent="0.25">
      <c r="A450" s="524" t="s">
        <v>222</v>
      </c>
      <c r="B450" s="524" t="s">
        <v>181</v>
      </c>
      <c r="C450" s="526"/>
      <c r="D450" s="526"/>
      <c r="E450" s="526">
        <f>SUM(D451)</f>
        <v>0</v>
      </c>
      <c r="F450" s="528"/>
      <c r="G450" s="378"/>
      <c r="H450" s="378"/>
    </row>
    <row r="451" spans="1:8" x14ac:dyDescent="0.25">
      <c r="A451" s="527"/>
      <c r="B451" s="527"/>
      <c r="C451" s="528"/>
      <c r="D451" s="528">
        <v>0</v>
      </c>
      <c r="E451" s="528"/>
      <c r="F451" s="528"/>
      <c r="G451" s="378"/>
      <c r="H451" s="378"/>
    </row>
    <row r="452" spans="1:8" x14ac:dyDescent="0.25">
      <c r="A452" s="530" t="s">
        <v>879</v>
      </c>
      <c r="B452" s="535"/>
      <c r="C452" s="544"/>
      <c r="D452" s="544"/>
      <c r="E452" s="544"/>
      <c r="F452" s="532">
        <f>SUM(E431:E451)</f>
        <v>29723981</v>
      </c>
      <c r="G452" s="378"/>
      <c r="H452" s="378"/>
    </row>
    <row r="453" spans="1:8" x14ac:dyDescent="0.25">
      <c r="A453" s="524" t="s">
        <v>228</v>
      </c>
      <c r="B453" s="524" t="s">
        <v>881</v>
      </c>
      <c r="C453" s="526"/>
      <c r="D453" s="526"/>
      <c r="E453" s="526">
        <f>SUM(D454:D456)</f>
        <v>4566691.1899999995</v>
      </c>
      <c r="F453" s="528"/>
      <c r="G453" s="378"/>
      <c r="H453" s="378"/>
    </row>
    <row r="454" spans="1:8" x14ac:dyDescent="0.25">
      <c r="A454" s="527"/>
      <c r="B454" s="527" t="s">
        <v>1373</v>
      </c>
      <c r="C454" s="528">
        <f>SUM(D432+D434)</f>
        <v>2020100</v>
      </c>
      <c r="D454" s="528">
        <f>SUM(C454*0.155)</f>
        <v>313115.5</v>
      </c>
      <c r="E454" s="528"/>
      <c r="F454" s="528"/>
      <c r="G454" s="378"/>
      <c r="H454" s="378"/>
    </row>
    <row r="455" spans="1:8" x14ac:dyDescent="0.25">
      <c r="A455" s="527"/>
      <c r="B455" s="527" t="s">
        <v>1361</v>
      </c>
      <c r="C455" s="528">
        <f>SUM(D433+D435)</f>
        <v>28405113</v>
      </c>
      <c r="D455" s="528">
        <f>SUM(C455*0.13)</f>
        <v>3692664.69</v>
      </c>
      <c r="E455" s="528"/>
      <c r="F455" s="528"/>
      <c r="G455" s="378"/>
      <c r="H455" s="378"/>
    </row>
    <row r="456" spans="1:8" x14ac:dyDescent="0.25">
      <c r="A456" s="527"/>
      <c r="B456" s="527" t="s">
        <v>1021</v>
      </c>
      <c r="C456" s="528"/>
      <c r="D456" s="528">
        <v>560911</v>
      </c>
      <c r="E456" s="528"/>
      <c r="F456" s="528"/>
      <c r="G456" s="378"/>
      <c r="H456" s="378"/>
    </row>
    <row r="457" spans="1:8" x14ac:dyDescent="0.25">
      <c r="A457" s="527"/>
      <c r="B457" s="527" t="s">
        <v>882</v>
      </c>
      <c r="C457" s="528"/>
      <c r="D457" s="528">
        <f>SUM(E440*0.13)</f>
        <v>31200</v>
      </c>
      <c r="E457" s="528"/>
      <c r="F457" s="528"/>
      <c r="G457" s="378"/>
      <c r="H457" s="378"/>
    </row>
    <row r="458" spans="1:8" x14ac:dyDescent="0.25">
      <c r="A458" s="527"/>
      <c r="B458" s="524" t="s">
        <v>883</v>
      </c>
      <c r="C458" s="528"/>
      <c r="D458" s="528"/>
      <c r="E458" s="526">
        <f>SUM(D459)</f>
        <v>36000</v>
      </c>
      <c r="F458" s="528"/>
      <c r="G458" s="378"/>
      <c r="H458" s="378"/>
    </row>
    <row r="459" spans="1:8" x14ac:dyDescent="0.25">
      <c r="A459" s="527"/>
      <c r="B459" s="527" t="s">
        <v>884</v>
      </c>
      <c r="C459" s="528"/>
      <c r="D459" s="528">
        <f>SUM(E440*0.15)</f>
        <v>36000</v>
      </c>
      <c r="E459" s="528"/>
      <c r="F459" s="528"/>
      <c r="G459" s="378"/>
      <c r="H459" s="378"/>
    </row>
    <row r="460" spans="1:8" x14ac:dyDescent="0.25">
      <c r="A460" s="530" t="s">
        <v>885</v>
      </c>
      <c r="B460" s="535"/>
      <c r="C460" s="544"/>
      <c r="D460" s="544"/>
      <c r="E460" s="544"/>
      <c r="F460" s="533">
        <f>SUM(E453:E459)</f>
        <v>4602691.1899999995</v>
      </c>
      <c r="G460" s="378"/>
      <c r="H460" s="378"/>
    </row>
    <row r="461" spans="1:8" x14ac:dyDescent="0.25">
      <c r="A461" s="524" t="s">
        <v>229</v>
      </c>
      <c r="B461" s="524" t="s">
        <v>157</v>
      </c>
      <c r="C461" s="526"/>
      <c r="D461" s="526"/>
      <c r="E461" s="526">
        <f>SUM(D462)</f>
        <v>700000</v>
      </c>
      <c r="F461" s="542"/>
      <c r="G461" s="378"/>
      <c r="H461" s="378"/>
    </row>
    <row r="462" spans="1:8" x14ac:dyDescent="0.25">
      <c r="A462" s="527"/>
      <c r="B462" s="527">
        <v>0</v>
      </c>
      <c r="C462" s="528"/>
      <c r="D462" s="528">
        <v>700000</v>
      </c>
      <c r="E462" s="528"/>
      <c r="F462" s="542"/>
      <c r="G462" s="378"/>
      <c r="H462" s="378"/>
    </row>
    <row r="463" spans="1:8" x14ac:dyDescent="0.25">
      <c r="A463" s="524" t="s">
        <v>230</v>
      </c>
      <c r="B463" s="524" t="s">
        <v>891</v>
      </c>
      <c r="C463" s="526"/>
      <c r="D463" s="526"/>
      <c r="E463" s="526">
        <f>SUM(D464:D467)</f>
        <v>300000</v>
      </c>
      <c r="F463" s="542"/>
      <c r="G463" s="378"/>
      <c r="H463" s="378"/>
    </row>
    <row r="464" spans="1:8" x14ac:dyDescent="0.25">
      <c r="A464" s="527"/>
      <c r="B464" s="527" t="s">
        <v>892</v>
      </c>
      <c r="C464" s="528"/>
      <c r="D464" s="528">
        <v>180000</v>
      </c>
      <c r="E464" s="528"/>
      <c r="F464" s="542"/>
      <c r="G464" s="378"/>
      <c r="H464" s="378"/>
    </row>
    <row r="465" spans="1:8" x14ac:dyDescent="0.25">
      <c r="A465" s="527"/>
      <c r="B465" s="554" t="s">
        <v>886</v>
      </c>
      <c r="C465" s="528">
        <v>0</v>
      </c>
      <c r="D465" s="528">
        <f>SUM(C465*2)</f>
        <v>0</v>
      </c>
      <c r="E465" s="528"/>
      <c r="F465" s="542"/>
      <c r="G465" s="378"/>
      <c r="H465" s="378"/>
    </row>
    <row r="466" spans="1:8" x14ac:dyDescent="0.25">
      <c r="A466" s="527"/>
      <c r="B466" s="527" t="s">
        <v>1248</v>
      </c>
      <c r="C466" s="528"/>
      <c r="D466" s="528">
        <v>100000</v>
      </c>
      <c r="E466" s="528"/>
      <c r="F466" s="542"/>
      <c r="G466" s="378"/>
      <c r="H466" s="378"/>
    </row>
    <row r="467" spans="1:8" x14ac:dyDescent="0.25">
      <c r="A467" s="527"/>
      <c r="B467" s="527" t="s">
        <v>893</v>
      </c>
      <c r="C467" s="528"/>
      <c r="D467" s="528">
        <v>20000</v>
      </c>
      <c r="E467" s="528"/>
      <c r="F467" s="542"/>
      <c r="G467" s="378"/>
      <c r="H467" s="378"/>
    </row>
    <row r="468" spans="1:8" x14ac:dyDescent="0.25">
      <c r="A468" s="524" t="s">
        <v>235</v>
      </c>
      <c r="B468" s="524" t="s">
        <v>894</v>
      </c>
      <c r="C468" s="526"/>
      <c r="D468" s="526"/>
      <c r="E468" s="526">
        <f>SUM(D469:D469)</f>
        <v>90000</v>
      </c>
      <c r="F468" s="542"/>
      <c r="G468" s="378"/>
      <c r="H468" s="378"/>
    </row>
    <row r="469" spans="1:8" x14ac:dyDescent="0.25">
      <c r="A469" s="527"/>
      <c r="B469" s="527" t="s">
        <v>1022</v>
      </c>
      <c r="C469" s="528">
        <v>7500</v>
      </c>
      <c r="D469" s="528">
        <f>SUM(C469*12)</f>
        <v>90000</v>
      </c>
      <c r="E469" s="528"/>
      <c r="F469" s="542"/>
      <c r="G469" s="378"/>
      <c r="H469" s="378"/>
    </row>
    <row r="470" spans="1:8" x14ac:dyDescent="0.25">
      <c r="A470" s="524" t="s">
        <v>237</v>
      </c>
      <c r="B470" s="524" t="s">
        <v>897</v>
      </c>
      <c r="C470" s="526"/>
      <c r="D470" s="526"/>
      <c r="E470" s="526">
        <f>SUM(D471)</f>
        <v>84000</v>
      </c>
      <c r="F470" s="542"/>
      <c r="G470" s="378"/>
      <c r="H470" s="378"/>
    </row>
    <row r="471" spans="1:8" x14ac:dyDescent="0.25">
      <c r="A471" s="527"/>
      <c r="B471" s="527" t="s">
        <v>1022</v>
      </c>
      <c r="C471" s="528">
        <v>7000</v>
      </c>
      <c r="D471" s="528">
        <f>SUM(C471*12)</f>
        <v>84000</v>
      </c>
      <c r="E471" s="528"/>
      <c r="F471" s="542"/>
      <c r="G471" s="378"/>
      <c r="H471" s="378"/>
    </row>
    <row r="472" spans="1:8" x14ac:dyDescent="0.25">
      <c r="A472" s="524" t="s">
        <v>240</v>
      </c>
      <c r="B472" s="524" t="s">
        <v>158</v>
      </c>
      <c r="C472" s="526"/>
      <c r="D472" s="526"/>
      <c r="E472" s="526">
        <f>SUM(D473:D475)</f>
        <v>552000</v>
      </c>
      <c r="F472" s="542"/>
      <c r="G472" s="378"/>
      <c r="H472" s="378"/>
    </row>
    <row r="473" spans="1:8" x14ac:dyDescent="0.25">
      <c r="A473" s="527"/>
      <c r="B473" s="527" t="s">
        <v>898</v>
      </c>
      <c r="C473" s="528">
        <v>0</v>
      </c>
      <c r="D473" s="528">
        <f>SUM(C473*12)</f>
        <v>0</v>
      </c>
      <c r="E473" s="528"/>
      <c r="F473" s="542"/>
      <c r="G473" s="378"/>
      <c r="H473" s="378"/>
    </row>
    <row r="474" spans="1:8" x14ac:dyDescent="0.25">
      <c r="A474" s="527"/>
      <c r="B474" s="527" t="s">
        <v>899</v>
      </c>
      <c r="C474" s="528">
        <v>6000</v>
      </c>
      <c r="D474" s="528">
        <f>SUM(C474*12)</f>
        <v>72000</v>
      </c>
      <c r="E474" s="528"/>
      <c r="F474" s="542"/>
      <c r="G474" s="378"/>
      <c r="H474" s="378"/>
    </row>
    <row r="475" spans="1:8" x14ac:dyDescent="0.25">
      <c r="A475" s="527"/>
      <c r="B475" s="527" t="s">
        <v>900</v>
      </c>
      <c r="C475" s="528">
        <v>40000</v>
      </c>
      <c r="D475" s="528">
        <f>SUM(C475*12)</f>
        <v>480000</v>
      </c>
      <c r="E475" s="528"/>
      <c r="F475" s="542"/>
      <c r="G475" s="378"/>
      <c r="H475" s="378"/>
    </row>
    <row r="476" spans="1:8" x14ac:dyDescent="0.25">
      <c r="A476" s="524" t="s">
        <v>242</v>
      </c>
      <c r="B476" s="524" t="s">
        <v>901</v>
      </c>
      <c r="C476" s="526"/>
      <c r="D476" s="526"/>
      <c r="E476" s="526">
        <f>SUM(D477)</f>
        <v>28000</v>
      </c>
      <c r="F476" s="542"/>
      <c r="G476" s="378"/>
      <c r="H476" s="378"/>
    </row>
    <row r="477" spans="1:8" x14ac:dyDescent="0.25">
      <c r="A477" s="527"/>
      <c r="B477" s="527" t="s">
        <v>1011</v>
      </c>
      <c r="C477" s="528"/>
      <c r="D477" s="528">
        <v>28000</v>
      </c>
      <c r="E477" s="528"/>
      <c r="F477" s="542"/>
      <c r="G477" s="378"/>
      <c r="H477" s="378"/>
    </row>
    <row r="478" spans="1:8" x14ac:dyDescent="0.25">
      <c r="A478" s="524" t="s">
        <v>243</v>
      </c>
      <c r="B478" s="524" t="s">
        <v>902</v>
      </c>
      <c r="C478" s="526"/>
      <c r="D478" s="526"/>
      <c r="E478" s="526">
        <f>SUM(D479:D480)</f>
        <v>302000</v>
      </c>
      <c r="F478" s="542"/>
      <c r="G478" s="378"/>
      <c r="H478" s="378"/>
    </row>
    <row r="479" spans="1:8" x14ac:dyDescent="0.25">
      <c r="A479" s="527"/>
      <c r="B479" s="527" t="s">
        <v>1023</v>
      </c>
      <c r="C479" s="528"/>
      <c r="D479" s="528">
        <v>2000</v>
      </c>
      <c r="E479" s="528"/>
      <c r="F479" s="542"/>
      <c r="G479" s="378"/>
      <c r="H479" s="378"/>
    </row>
    <row r="480" spans="1:8" x14ac:dyDescent="0.25">
      <c r="A480" s="527"/>
      <c r="B480" s="527" t="s">
        <v>909</v>
      </c>
      <c r="C480" s="528"/>
      <c r="D480" s="528">
        <v>300000</v>
      </c>
      <c r="E480" s="528"/>
      <c r="F480" s="542"/>
      <c r="G480" s="378"/>
      <c r="H480" s="378"/>
    </row>
    <row r="481" spans="1:8" x14ac:dyDescent="0.25">
      <c r="A481" s="524" t="s">
        <v>247</v>
      </c>
      <c r="B481" s="524" t="s">
        <v>146</v>
      </c>
      <c r="C481" s="526"/>
      <c r="D481" s="526"/>
      <c r="E481" s="526">
        <f>SUM(D482:D486)</f>
        <v>419000</v>
      </c>
      <c r="F481" s="542"/>
      <c r="G481" s="378"/>
      <c r="H481" s="378"/>
    </row>
    <row r="482" spans="1:8" x14ac:dyDescent="0.25">
      <c r="A482" s="527"/>
      <c r="B482" s="527" t="s">
        <v>1024</v>
      </c>
      <c r="C482" s="545"/>
      <c r="D482" s="528">
        <v>300000</v>
      </c>
      <c r="E482" s="528"/>
      <c r="F482" s="542"/>
      <c r="G482" s="378"/>
      <c r="H482" s="378"/>
    </row>
    <row r="483" spans="1:8" x14ac:dyDescent="0.25">
      <c r="A483" s="527"/>
      <c r="B483" s="527" t="s">
        <v>948</v>
      </c>
      <c r="C483" s="528">
        <v>7000</v>
      </c>
      <c r="D483" s="528">
        <f>SUM(C483*2)</f>
        <v>14000</v>
      </c>
      <c r="E483" s="528"/>
      <c r="F483" s="542"/>
      <c r="G483" s="378"/>
      <c r="H483" s="378"/>
    </row>
    <row r="484" spans="1:8" x14ac:dyDescent="0.25">
      <c r="A484" s="527"/>
      <c r="B484" s="527" t="s">
        <v>1025</v>
      </c>
      <c r="C484" s="528"/>
      <c r="D484" s="528">
        <v>40000</v>
      </c>
      <c r="E484" s="528"/>
      <c r="F484" s="542"/>
      <c r="G484" s="378"/>
      <c r="H484" s="378"/>
    </row>
    <row r="485" spans="1:8" x14ac:dyDescent="0.25">
      <c r="A485" s="527"/>
      <c r="B485" s="527" t="s">
        <v>906</v>
      </c>
      <c r="C485" s="528">
        <v>13000</v>
      </c>
      <c r="D485" s="528">
        <f>SUM(C485*4)</f>
        <v>52000</v>
      </c>
      <c r="E485" s="528"/>
      <c r="F485" s="542"/>
      <c r="G485" s="378"/>
      <c r="H485" s="378"/>
    </row>
    <row r="486" spans="1:8" x14ac:dyDescent="0.25">
      <c r="A486" s="527"/>
      <c r="B486" s="527" t="s">
        <v>1030</v>
      </c>
      <c r="C486" s="528"/>
      <c r="D486" s="528">
        <v>13000</v>
      </c>
      <c r="E486" s="528"/>
      <c r="F486" s="542"/>
      <c r="G486" s="378"/>
      <c r="H486" s="378"/>
    </row>
    <row r="487" spans="1:8" x14ac:dyDescent="0.25">
      <c r="A487" s="524" t="s">
        <v>255</v>
      </c>
      <c r="B487" s="524" t="s">
        <v>888</v>
      </c>
      <c r="C487" s="526"/>
      <c r="D487" s="526"/>
      <c r="E487" s="526">
        <v>700000</v>
      </c>
      <c r="F487" s="528"/>
      <c r="G487" s="378"/>
      <c r="H487" s="378"/>
    </row>
    <row r="488" spans="1:8" x14ac:dyDescent="0.25">
      <c r="A488" s="524" t="s">
        <v>262</v>
      </c>
      <c r="B488" s="524" t="s">
        <v>1292</v>
      </c>
      <c r="C488" s="526"/>
      <c r="D488" s="526"/>
      <c r="E488" s="526">
        <f>SUM(C489)</f>
        <v>14000</v>
      </c>
      <c r="F488" s="528"/>
      <c r="G488" s="378"/>
      <c r="H488" s="378"/>
    </row>
    <row r="489" spans="1:8" x14ac:dyDescent="0.25">
      <c r="A489" s="524"/>
      <c r="B489" s="527" t="s">
        <v>1293</v>
      </c>
      <c r="C489" s="528">
        <v>14000</v>
      </c>
      <c r="D489" s="526"/>
      <c r="E489" s="526"/>
      <c r="F489" s="528"/>
      <c r="G489" s="378"/>
      <c r="H489" s="378"/>
    </row>
    <row r="490" spans="1:8" ht="15.75" thickBot="1" x14ac:dyDescent="0.3">
      <c r="A490" s="530" t="s">
        <v>889</v>
      </c>
      <c r="B490" s="535"/>
      <c r="C490" s="544"/>
      <c r="D490" s="544"/>
      <c r="E490" s="544"/>
      <c r="F490" s="533">
        <f>SUM(E461:E489)</f>
        <v>3189000</v>
      </c>
      <c r="G490" s="378"/>
      <c r="H490" s="378"/>
    </row>
    <row r="491" spans="1:8" ht="15.75" thickBot="1" x14ac:dyDescent="0.3">
      <c r="A491" s="724" t="s">
        <v>1342</v>
      </c>
      <c r="B491" s="724"/>
      <c r="C491" s="542"/>
      <c r="D491" s="542"/>
      <c r="E491" s="542"/>
      <c r="F491" s="539">
        <f>SUM(F452:F490)</f>
        <v>37515672.189999998</v>
      </c>
      <c r="G491" s="378"/>
      <c r="H491" s="378"/>
    </row>
    <row r="492" spans="1:8" x14ac:dyDescent="0.25">
      <c r="A492" s="522"/>
      <c r="B492" s="522"/>
      <c r="C492" s="542"/>
      <c r="D492" s="542"/>
      <c r="E492" s="542"/>
      <c r="F492" s="542"/>
      <c r="G492" s="378"/>
      <c r="H492" s="378"/>
    </row>
    <row r="493" spans="1:8" ht="15.75" thickBot="1" x14ac:dyDescent="0.3">
      <c r="A493" s="522"/>
      <c r="B493" s="522"/>
      <c r="C493" s="523"/>
      <c r="D493" s="523"/>
      <c r="E493" s="523"/>
      <c r="F493" s="523"/>
      <c r="G493" s="378"/>
      <c r="H493" s="378"/>
    </row>
    <row r="494" spans="1:8" ht="15.75" thickBot="1" x14ac:dyDescent="0.3">
      <c r="A494" s="726" t="s">
        <v>1026</v>
      </c>
      <c r="B494" s="727"/>
      <c r="C494" s="727"/>
      <c r="D494" s="727"/>
      <c r="E494" s="727"/>
      <c r="F494" s="728"/>
      <c r="G494" s="378"/>
      <c r="H494" s="378"/>
    </row>
    <row r="495" spans="1:8" x14ac:dyDescent="0.25">
      <c r="A495" s="522"/>
      <c r="B495" s="522"/>
      <c r="C495" s="523"/>
      <c r="D495" s="523"/>
      <c r="E495" s="523"/>
      <c r="F495" s="523"/>
      <c r="G495" s="378"/>
      <c r="H495" s="378"/>
    </row>
    <row r="496" spans="1:8" x14ac:dyDescent="0.25">
      <c r="A496" s="524" t="s">
        <v>195</v>
      </c>
      <c r="B496" s="524" t="s">
        <v>877</v>
      </c>
      <c r="C496" s="528"/>
      <c r="D496" s="528"/>
      <c r="E496" s="526">
        <f>SUM(D497:D498)</f>
        <v>6881541</v>
      </c>
      <c r="F496" s="542"/>
      <c r="G496" s="378"/>
      <c r="H496" s="378"/>
    </row>
    <row r="497" spans="1:8" x14ac:dyDescent="0.25">
      <c r="A497" s="527"/>
      <c r="B497" s="527" t="s">
        <v>40</v>
      </c>
      <c r="C497" s="528">
        <v>455000</v>
      </c>
      <c r="D497" s="528">
        <f>SUM(C497*1)</f>
        <v>455000</v>
      </c>
      <c r="E497" s="528"/>
      <c r="F497" s="542"/>
      <c r="G497" s="378"/>
      <c r="H497" s="378"/>
    </row>
    <row r="498" spans="1:8" x14ac:dyDescent="0.25">
      <c r="A498" s="527"/>
      <c r="B498" s="527"/>
      <c r="C498" s="528">
        <v>584231</v>
      </c>
      <c r="D498" s="528">
        <f>SUM(C498*11)</f>
        <v>6426541</v>
      </c>
      <c r="E498" s="528"/>
      <c r="F498" s="542"/>
      <c r="G498" s="378"/>
      <c r="H498" s="378"/>
    </row>
    <row r="499" spans="1:8" x14ac:dyDescent="0.25">
      <c r="A499" s="524" t="s">
        <v>197</v>
      </c>
      <c r="B499" s="524" t="s">
        <v>23</v>
      </c>
      <c r="C499" s="526"/>
      <c r="D499" s="526"/>
      <c r="E499" s="526">
        <f>SUM(D500)</f>
        <v>300000</v>
      </c>
      <c r="F499" s="542"/>
      <c r="G499" s="378"/>
      <c r="H499" s="378"/>
    </row>
    <row r="500" spans="1:8" x14ac:dyDescent="0.25">
      <c r="A500" s="527"/>
      <c r="B500" s="527">
        <v>0</v>
      </c>
      <c r="C500" s="528"/>
      <c r="D500" s="528">
        <v>300000</v>
      </c>
      <c r="E500" s="528"/>
      <c r="F500" s="542"/>
      <c r="G500" s="378"/>
      <c r="H500" s="378"/>
    </row>
    <row r="501" spans="1:8" x14ac:dyDescent="0.25">
      <c r="A501" s="524" t="s">
        <v>204</v>
      </c>
      <c r="B501" s="524" t="s">
        <v>16</v>
      </c>
      <c r="C501" s="526"/>
      <c r="D501" s="526"/>
      <c r="E501" s="526">
        <f>SUM(D502)</f>
        <v>0</v>
      </c>
      <c r="F501" s="542"/>
      <c r="G501" s="378"/>
      <c r="H501" s="378"/>
    </row>
    <row r="502" spans="1:8" x14ac:dyDescent="0.25">
      <c r="A502" s="527"/>
      <c r="B502" s="524"/>
      <c r="C502" s="528">
        <v>0</v>
      </c>
      <c r="D502" s="528">
        <f>SUM(C502*3)</f>
        <v>0</v>
      </c>
      <c r="E502" s="528"/>
      <c r="F502" s="542"/>
      <c r="G502" s="378"/>
      <c r="H502" s="378"/>
    </row>
    <row r="503" spans="1:8" x14ac:dyDescent="0.25">
      <c r="A503" s="524" t="s">
        <v>206</v>
      </c>
      <c r="B503" s="524" t="s">
        <v>205</v>
      </c>
      <c r="C503" s="526"/>
      <c r="D503" s="526"/>
      <c r="E503" s="526">
        <f>SUM(D504)</f>
        <v>120000</v>
      </c>
      <c r="F503" s="542"/>
      <c r="G503" s="378"/>
      <c r="H503" s="378"/>
    </row>
    <row r="504" spans="1:8" x14ac:dyDescent="0.25">
      <c r="A504" s="527"/>
      <c r="B504" s="527" t="s">
        <v>40</v>
      </c>
      <c r="C504" s="528"/>
      <c r="D504" s="528">
        <v>120000</v>
      </c>
      <c r="E504" s="528"/>
      <c r="F504" s="542"/>
      <c r="G504" s="378"/>
      <c r="H504" s="378"/>
    </row>
    <row r="505" spans="1:8" x14ac:dyDescent="0.25">
      <c r="A505" s="524" t="s">
        <v>208</v>
      </c>
      <c r="B505" s="524" t="s">
        <v>34</v>
      </c>
      <c r="C505" s="526"/>
      <c r="D505" s="526"/>
      <c r="E505" s="526">
        <f>SUM(D506)</f>
        <v>180000</v>
      </c>
      <c r="F505" s="542"/>
      <c r="G505" s="378"/>
      <c r="H505" s="378"/>
    </row>
    <row r="506" spans="1:8" x14ac:dyDescent="0.25">
      <c r="A506" s="527"/>
      <c r="B506" s="527">
        <v>15000</v>
      </c>
      <c r="C506" s="528"/>
      <c r="D506" s="528">
        <f>SUM(B506*12)</f>
        <v>180000</v>
      </c>
      <c r="E506" s="528"/>
      <c r="F506" s="542"/>
      <c r="G506" s="378"/>
      <c r="H506" s="378"/>
    </row>
    <row r="507" spans="1:8" x14ac:dyDescent="0.25">
      <c r="A507" s="524" t="s">
        <v>210</v>
      </c>
      <c r="B507" s="524" t="s">
        <v>878</v>
      </c>
      <c r="C507" s="526"/>
      <c r="D507" s="526"/>
      <c r="E507" s="526">
        <f>SUM(D508:D508)</f>
        <v>0</v>
      </c>
      <c r="F507" s="542"/>
      <c r="G507" s="378"/>
      <c r="H507" s="378"/>
    </row>
    <row r="508" spans="1:8" x14ac:dyDescent="0.25">
      <c r="A508" s="527"/>
      <c r="B508" s="527"/>
      <c r="C508" s="528"/>
      <c r="D508" s="528"/>
      <c r="E508" s="528"/>
      <c r="F508" s="542"/>
      <c r="G508" s="378"/>
      <c r="H508" s="378"/>
    </row>
    <row r="509" spans="1:8" x14ac:dyDescent="0.25">
      <c r="A509" s="524" t="s">
        <v>216</v>
      </c>
      <c r="B509" s="524" t="s">
        <v>1019</v>
      </c>
      <c r="C509" s="526"/>
      <c r="D509" s="526"/>
      <c r="E509" s="526">
        <f>SUM(D510)</f>
        <v>0</v>
      </c>
      <c r="F509" s="528"/>
      <c r="G509" s="378"/>
      <c r="H509" s="378"/>
    </row>
    <row r="510" spans="1:8" x14ac:dyDescent="0.25">
      <c r="A510" s="527"/>
      <c r="B510" s="527">
        <v>0</v>
      </c>
      <c r="C510" s="528"/>
      <c r="D510" s="528">
        <v>0</v>
      </c>
      <c r="E510" s="528"/>
      <c r="F510" s="528"/>
      <c r="G510" s="378"/>
      <c r="H510" s="378"/>
    </row>
    <row r="511" spans="1:8" x14ac:dyDescent="0.25">
      <c r="A511" s="530" t="s">
        <v>879</v>
      </c>
      <c r="B511" s="535"/>
      <c r="C511" s="544"/>
      <c r="D511" s="544"/>
      <c r="E511" s="544"/>
      <c r="F511" s="532">
        <f>SUM(E496:E510)</f>
        <v>7481541</v>
      </c>
      <c r="G511" s="378"/>
      <c r="H511" s="378"/>
    </row>
    <row r="512" spans="1:8" x14ac:dyDescent="0.25">
      <c r="A512" s="524" t="s">
        <v>228</v>
      </c>
      <c r="B512" s="524" t="s">
        <v>881</v>
      </c>
      <c r="C512" s="526"/>
      <c r="D512" s="526"/>
      <c r="E512" s="526">
        <f>SUM(D513:D516)</f>
        <v>960575.33000000007</v>
      </c>
      <c r="F512" s="528"/>
      <c r="G512" s="378"/>
      <c r="H512" s="378"/>
    </row>
    <row r="513" spans="1:8" x14ac:dyDescent="0.25">
      <c r="A513" s="527"/>
      <c r="B513" s="527" t="s">
        <v>1373</v>
      </c>
      <c r="C513" s="528">
        <f>SUM(D497)</f>
        <v>455000</v>
      </c>
      <c r="D513" s="528">
        <f>SUM(C513*0.155)</f>
        <v>70525</v>
      </c>
      <c r="E513" s="528"/>
      <c r="F513" s="528"/>
      <c r="G513" s="378"/>
      <c r="H513" s="378"/>
    </row>
    <row r="514" spans="1:8" x14ac:dyDescent="0.25">
      <c r="A514" s="527"/>
      <c r="B514" s="527" t="s">
        <v>1361</v>
      </c>
      <c r="C514" s="528">
        <f>SUM(D498)</f>
        <v>6426541</v>
      </c>
      <c r="D514" s="528">
        <f>SUM(C514*0.13)</f>
        <v>835450.33000000007</v>
      </c>
      <c r="E514" s="528"/>
      <c r="F514" s="528"/>
      <c r="G514" s="378"/>
      <c r="H514" s="378"/>
    </row>
    <row r="515" spans="1:8" x14ac:dyDescent="0.25">
      <c r="A515" s="527"/>
      <c r="B515" s="527" t="s">
        <v>16</v>
      </c>
      <c r="C515" s="528">
        <f>SUM(E499+E501)</f>
        <v>300000</v>
      </c>
      <c r="D515" s="528">
        <f>SUM(C515*0.13)</f>
        <v>39000</v>
      </c>
      <c r="E515" s="528"/>
      <c r="F515" s="528"/>
      <c r="G515" s="378"/>
      <c r="H515" s="378"/>
    </row>
    <row r="516" spans="1:8" x14ac:dyDescent="0.25">
      <c r="A516" s="527"/>
      <c r="B516" s="527" t="s">
        <v>882</v>
      </c>
      <c r="C516" s="528">
        <v>120000</v>
      </c>
      <c r="D516" s="528">
        <f>SUM(C516*0.13)</f>
        <v>15600</v>
      </c>
      <c r="E516" s="528"/>
      <c r="F516" s="528"/>
      <c r="G516" s="378"/>
      <c r="H516" s="378"/>
    </row>
    <row r="517" spans="1:8" x14ac:dyDescent="0.25">
      <c r="A517" s="527"/>
      <c r="B517" s="527" t="s">
        <v>883</v>
      </c>
      <c r="C517" s="528"/>
      <c r="D517" s="528"/>
      <c r="E517" s="526">
        <f>SUM(D518)</f>
        <v>18000</v>
      </c>
      <c r="F517" s="528"/>
      <c r="G517" s="378"/>
      <c r="H517" s="378"/>
    </row>
    <row r="518" spans="1:8" x14ac:dyDescent="0.25">
      <c r="A518" s="527"/>
      <c r="B518" s="527" t="s">
        <v>884</v>
      </c>
      <c r="C518" s="528"/>
      <c r="D518" s="528">
        <f>SUM(D504*0.15)</f>
        <v>18000</v>
      </c>
      <c r="E518" s="528"/>
      <c r="F518" s="528"/>
      <c r="G518" s="378"/>
      <c r="H518" s="378"/>
    </row>
    <row r="519" spans="1:8" x14ac:dyDescent="0.25">
      <c r="A519" s="530" t="s">
        <v>885</v>
      </c>
      <c r="B519" s="535"/>
      <c r="C519" s="544"/>
      <c r="D519" s="544"/>
      <c r="E519" s="544"/>
      <c r="F519" s="533">
        <f>SUM(E512:E518)</f>
        <v>978575.33000000007</v>
      </c>
      <c r="G519" s="378"/>
      <c r="H519" s="378"/>
    </row>
    <row r="520" spans="1:8" x14ac:dyDescent="0.25">
      <c r="A520" s="535" t="s">
        <v>229</v>
      </c>
      <c r="B520" s="535" t="s">
        <v>157</v>
      </c>
      <c r="C520" s="544"/>
      <c r="D520" s="544"/>
      <c r="E520" s="544">
        <f>SUM(D521)</f>
        <v>50000</v>
      </c>
      <c r="F520" s="544"/>
      <c r="G520" s="378"/>
      <c r="H520" s="378"/>
    </row>
    <row r="521" spans="1:8" x14ac:dyDescent="0.25">
      <c r="A521" s="535"/>
      <c r="B521" s="535"/>
      <c r="C521" s="544"/>
      <c r="D521" s="597">
        <v>50000</v>
      </c>
      <c r="E521" s="544"/>
      <c r="F521" s="544"/>
      <c r="G521" s="378"/>
      <c r="H521" s="378"/>
    </row>
    <row r="522" spans="1:8" x14ac:dyDescent="0.25">
      <c r="A522" s="524" t="s">
        <v>230</v>
      </c>
      <c r="B522" s="524" t="s">
        <v>891</v>
      </c>
      <c r="C522" s="526"/>
      <c r="D522" s="526"/>
      <c r="E522" s="526">
        <f>SUM(D523:D526)</f>
        <v>100000</v>
      </c>
      <c r="F522" s="542"/>
      <c r="G522" s="378"/>
      <c r="H522" s="378"/>
    </row>
    <row r="523" spans="1:8" x14ac:dyDescent="0.25">
      <c r="A523" s="527"/>
      <c r="B523" s="527" t="s">
        <v>892</v>
      </c>
      <c r="C523" s="528"/>
      <c r="D523" s="528">
        <v>28000</v>
      </c>
      <c r="E523" s="528"/>
      <c r="F523" s="542"/>
      <c r="G523" s="378"/>
      <c r="H523" s="378"/>
    </row>
    <row r="524" spans="1:8" x14ac:dyDescent="0.25">
      <c r="A524" s="527"/>
      <c r="B524" s="527" t="s">
        <v>893</v>
      </c>
      <c r="C524" s="528"/>
      <c r="D524" s="528">
        <v>25000</v>
      </c>
      <c r="E524" s="528"/>
      <c r="F524" s="542"/>
      <c r="G524" s="378"/>
      <c r="H524" s="378"/>
    </row>
    <row r="525" spans="1:8" x14ac:dyDescent="0.25">
      <c r="A525" s="527"/>
      <c r="B525" s="527" t="s">
        <v>886</v>
      </c>
      <c r="C525" s="528">
        <v>0</v>
      </c>
      <c r="D525" s="528">
        <v>0</v>
      </c>
      <c r="E525" s="528"/>
      <c r="F525" s="542"/>
      <c r="G525" s="378"/>
      <c r="H525" s="378"/>
    </row>
    <row r="526" spans="1:8" x14ac:dyDescent="0.25">
      <c r="A526" s="527"/>
      <c r="B526" s="527"/>
      <c r="C526" s="528"/>
      <c r="D526" s="528">
        <v>47000</v>
      </c>
      <c r="E526" s="528"/>
      <c r="F526" s="542"/>
      <c r="G526" s="378"/>
      <c r="H526" s="378"/>
    </row>
    <row r="527" spans="1:8" x14ac:dyDescent="0.25">
      <c r="A527" s="524" t="s">
        <v>235</v>
      </c>
      <c r="B527" s="524" t="s">
        <v>894</v>
      </c>
      <c r="C527" s="528"/>
      <c r="D527" s="528">
        <f>SUM(C528*12)</f>
        <v>30000</v>
      </c>
      <c r="E527" s="526">
        <f>SUM(D527)</f>
        <v>30000</v>
      </c>
      <c r="F527" s="542"/>
      <c r="G527" s="378"/>
      <c r="H527" s="378"/>
    </row>
    <row r="528" spans="1:8" x14ac:dyDescent="0.25">
      <c r="A528" s="527"/>
      <c r="B528" s="527" t="s">
        <v>1027</v>
      </c>
      <c r="C528" s="528">
        <v>2500</v>
      </c>
      <c r="D528" s="528"/>
      <c r="E528" s="528"/>
      <c r="F528" s="542"/>
      <c r="G528" s="378"/>
      <c r="H528" s="378"/>
    </row>
    <row r="529" spans="1:8" x14ac:dyDescent="0.25">
      <c r="A529" s="524" t="s">
        <v>237</v>
      </c>
      <c r="B529" s="524" t="s">
        <v>897</v>
      </c>
      <c r="C529" s="526"/>
      <c r="D529" s="526"/>
      <c r="E529" s="526">
        <f>SUM(D530)</f>
        <v>72000</v>
      </c>
      <c r="F529" s="542"/>
      <c r="G529" s="378"/>
      <c r="H529" s="378"/>
    </row>
    <row r="530" spans="1:8" x14ac:dyDescent="0.25">
      <c r="A530" s="527"/>
      <c r="B530" s="527" t="s">
        <v>1027</v>
      </c>
      <c r="C530" s="528">
        <v>6000</v>
      </c>
      <c r="D530" s="528">
        <f>SUM(C530*12)</f>
        <v>72000</v>
      </c>
      <c r="E530" s="528"/>
      <c r="F530" s="542"/>
      <c r="G530" s="378"/>
      <c r="H530" s="378"/>
    </row>
    <row r="531" spans="1:8" x14ac:dyDescent="0.25">
      <c r="A531" s="524" t="s">
        <v>240</v>
      </c>
      <c r="B531" s="524" t="s">
        <v>158</v>
      </c>
      <c r="C531" s="526"/>
      <c r="D531" s="526"/>
      <c r="E531" s="526">
        <f>SUM(D532:D534)</f>
        <v>372000</v>
      </c>
      <c r="F531" s="542"/>
      <c r="G531" s="378"/>
      <c r="H531" s="378"/>
    </row>
    <row r="532" spans="1:8" x14ac:dyDescent="0.25">
      <c r="A532" s="527"/>
      <c r="B532" s="527" t="s">
        <v>898</v>
      </c>
      <c r="C532" s="528">
        <v>0</v>
      </c>
      <c r="D532" s="528">
        <f>SUM(C532*12)</f>
        <v>0</v>
      </c>
      <c r="E532" s="528"/>
      <c r="F532" s="542"/>
      <c r="G532" s="378"/>
      <c r="H532" s="378"/>
    </row>
    <row r="533" spans="1:8" x14ac:dyDescent="0.25">
      <c r="A533" s="527"/>
      <c r="B533" s="527" t="s">
        <v>899</v>
      </c>
      <c r="C533" s="528">
        <v>2000</v>
      </c>
      <c r="D533" s="528">
        <f>SUM(C533*6)</f>
        <v>12000</v>
      </c>
      <c r="E533" s="528"/>
      <c r="F533" s="542"/>
      <c r="G533" s="378"/>
      <c r="H533" s="378"/>
    </row>
    <row r="534" spans="1:8" x14ac:dyDescent="0.25">
      <c r="A534" s="527"/>
      <c r="B534" s="527" t="s">
        <v>900</v>
      </c>
      <c r="C534" s="528">
        <v>30000</v>
      </c>
      <c r="D534" s="528">
        <f>SUM(C534*12)</f>
        <v>360000</v>
      </c>
      <c r="E534" s="528"/>
      <c r="F534" s="542"/>
      <c r="G534" s="378"/>
      <c r="H534" s="378"/>
    </row>
    <row r="535" spans="1:8" x14ac:dyDescent="0.25">
      <c r="A535" s="524" t="s">
        <v>242</v>
      </c>
      <c r="B535" s="524" t="s">
        <v>901</v>
      </c>
      <c r="C535" s="526"/>
      <c r="D535" s="526"/>
      <c r="E535" s="526">
        <f>SUM(D536)</f>
        <v>28000</v>
      </c>
      <c r="F535" s="542"/>
      <c r="G535" s="378"/>
      <c r="H535" s="378"/>
    </row>
    <row r="536" spans="1:8" x14ac:dyDescent="0.25">
      <c r="A536" s="527"/>
      <c r="B536" s="527" t="s">
        <v>1011</v>
      </c>
      <c r="C536" s="528"/>
      <c r="D536" s="528">
        <v>28000</v>
      </c>
      <c r="E536" s="528"/>
      <c r="F536" s="542"/>
      <c r="G536" s="378"/>
      <c r="H536" s="378"/>
    </row>
    <row r="537" spans="1:8" x14ac:dyDescent="0.25">
      <c r="A537" s="524" t="s">
        <v>243</v>
      </c>
      <c r="B537" s="524" t="s">
        <v>902</v>
      </c>
      <c r="C537" s="526"/>
      <c r="D537" s="526"/>
      <c r="E537" s="526">
        <f>SUM(D538:D539)</f>
        <v>20000</v>
      </c>
      <c r="F537" s="542"/>
      <c r="G537" s="378"/>
      <c r="H537" s="378"/>
    </row>
    <row r="538" spans="1:8" x14ac:dyDescent="0.25">
      <c r="A538" s="527"/>
      <c r="B538" s="527" t="s">
        <v>1028</v>
      </c>
      <c r="C538" s="528"/>
      <c r="D538" s="528">
        <v>2000</v>
      </c>
      <c r="E538" s="528"/>
      <c r="F538" s="542"/>
      <c r="G538" s="378"/>
      <c r="H538" s="378"/>
    </row>
    <row r="539" spans="1:8" x14ac:dyDescent="0.25">
      <c r="A539" s="527"/>
      <c r="B539" s="527"/>
      <c r="C539" s="528"/>
      <c r="D539" s="528">
        <v>18000</v>
      </c>
      <c r="E539" s="528"/>
      <c r="F539" s="542"/>
      <c r="G539" s="378"/>
      <c r="H539" s="378"/>
    </row>
    <row r="540" spans="1:8" x14ac:dyDescent="0.25">
      <c r="A540" s="524" t="s">
        <v>247</v>
      </c>
      <c r="B540" s="524" t="s">
        <v>146</v>
      </c>
      <c r="C540" s="526"/>
      <c r="D540" s="526"/>
      <c r="E540" s="526">
        <f>SUM(D541:D545)</f>
        <v>131000</v>
      </c>
      <c r="F540" s="542"/>
      <c r="G540" s="378"/>
      <c r="H540" s="378"/>
    </row>
    <row r="541" spans="1:8" x14ac:dyDescent="0.25">
      <c r="A541" s="527"/>
      <c r="B541" s="527" t="s">
        <v>906</v>
      </c>
      <c r="C541" s="528">
        <v>13000</v>
      </c>
      <c r="D541" s="528">
        <f>SUM(C541*4)</f>
        <v>52000</v>
      </c>
      <c r="E541" s="528"/>
      <c r="F541" s="542"/>
      <c r="G541" s="378"/>
      <c r="H541" s="378"/>
    </row>
    <row r="542" spans="1:8" x14ac:dyDescent="0.25">
      <c r="A542" s="527"/>
      <c r="B542" s="527" t="s">
        <v>948</v>
      </c>
      <c r="C542" s="528">
        <v>7000</v>
      </c>
      <c r="D542" s="528">
        <f>SUM(C542)</f>
        <v>7000</v>
      </c>
      <c r="E542" s="528"/>
      <c r="F542" s="542"/>
      <c r="G542" s="378"/>
      <c r="H542" s="378"/>
    </row>
    <row r="543" spans="1:8" x14ac:dyDescent="0.25">
      <c r="A543" s="527"/>
      <c r="B543" s="527" t="s">
        <v>1029</v>
      </c>
      <c r="C543" s="528"/>
      <c r="D543" s="528">
        <v>40000</v>
      </c>
      <c r="E543" s="528"/>
      <c r="F543" s="542"/>
      <c r="G543" s="378"/>
      <c r="H543" s="378"/>
    </row>
    <row r="544" spans="1:8" x14ac:dyDescent="0.25">
      <c r="A544" s="527"/>
      <c r="B544" s="527" t="s">
        <v>909</v>
      </c>
      <c r="C544" s="528"/>
      <c r="D544" s="528">
        <v>20000</v>
      </c>
      <c r="E544" s="528"/>
      <c r="F544" s="542"/>
      <c r="G544" s="378"/>
      <c r="H544" s="378"/>
    </row>
    <row r="545" spans="1:8" x14ac:dyDescent="0.25">
      <c r="A545" s="527"/>
      <c r="B545" s="527" t="s">
        <v>1030</v>
      </c>
      <c r="C545" s="528"/>
      <c r="D545" s="528">
        <v>12000</v>
      </c>
      <c r="E545" s="528"/>
      <c r="F545" s="542"/>
      <c r="G545" s="378"/>
      <c r="H545" s="378"/>
    </row>
    <row r="546" spans="1:8" x14ac:dyDescent="0.25">
      <c r="A546" s="524" t="s">
        <v>250</v>
      </c>
      <c r="B546" s="524" t="s">
        <v>155</v>
      </c>
      <c r="C546" s="526"/>
      <c r="D546" s="526"/>
      <c r="E546" s="526">
        <f>SUM(D547)</f>
        <v>5000</v>
      </c>
      <c r="F546" s="528"/>
      <c r="G546" s="378"/>
      <c r="H546" s="378"/>
    </row>
    <row r="547" spans="1:8" x14ac:dyDescent="0.25">
      <c r="A547" s="527"/>
      <c r="B547" s="527" t="s">
        <v>40</v>
      </c>
      <c r="C547" s="528"/>
      <c r="D547" s="528">
        <v>5000</v>
      </c>
      <c r="E547" s="528"/>
      <c r="F547" s="528"/>
      <c r="G547" s="378"/>
      <c r="H547" s="378"/>
    </row>
    <row r="548" spans="1:8" x14ac:dyDescent="0.25">
      <c r="A548" s="524" t="s">
        <v>255</v>
      </c>
      <c r="B548" s="524" t="s">
        <v>888</v>
      </c>
      <c r="C548" s="526"/>
      <c r="D548" s="526"/>
      <c r="E548" s="526">
        <v>200000</v>
      </c>
      <c r="F548" s="528"/>
      <c r="G548" s="378"/>
      <c r="H548" s="378"/>
    </row>
    <row r="549" spans="1:8" x14ac:dyDescent="0.25">
      <c r="A549" s="524" t="s">
        <v>262</v>
      </c>
      <c r="B549" s="524" t="s">
        <v>175</v>
      </c>
      <c r="C549" s="526"/>
      <c r="D549" s="526"/>
      <c r="E549" s="526">
        <f>SUM(D550)</f>
        <v>14000</v>
      </c>
      <c r="F549" s="528"/>
      <c r="G549" s="378"/>
      <c r="H549" s="378"/>
    </row>
    <row r="550" spans="1:8" x14ac:dyDescent="0.25">
      <c r="A550" s="524"/>
      <c r="B550" s="527" t="s">
        <v>1294</v>
      </c>
      <c r="C550" s="526"/>
      <c r="D550" s="528">
        <v>14000</v>
      </c>
      <c r="E550" s="526"/>
      <c r="F550" s="528"/>
      <c r="G550" s="378"/>
      <c r="H550" s="378"/>
    </row>
    <row r="551" spans="1:8" ht="15.75" thickBot="1" x14ac:dyDescent="0.3">
      <c r="A551" s="530" t="s">
        <v>889</v>
      </c>
      <c r="B551" s="535"/>
      <c r="C551" s="544"/>
      <c r="D551" s="544"/>
      <c r="E551" s="544"/>
      <c r="F551" s="533">
        <f>SUM(E520:E550)</f>
        <v>1022000</v>
      </c>
      <c r="G551" s="378"/>
      <c r="H551" s="378"/>
    </row>
    <row r="552" spans="1:8" ht="15.75" thickBot="1" x14ac:dyDescent="0.3">
      <c r="A552" s="724" t="s">
        <v>1342</v>
      </c>
      <c r="B552" s="724"/>
      <c r="C552" s="542"/>
      <c r="D552" s="542"/>
      <c r="E552" s="542"/>
      <c r="F552" s="539">
        <f>SUM(F511:F551)</f>
        <v>9482116.3300000001</v>
      </c>
      <c r="G552" s="378"/>
      <c r="H552" s="378"/>
    </row>
    <row r="553" spans="1:8" x14ac:dyDescent="0.25">
      <c r="A553" s="522"/>
      <c r="B553" s="522"/>
      <c r="C553" s="542"/>
      <c r="D553" s="542"/>
      <c r="E553" s="542"/>
      <c r="F553" s="542"/>
      <c r="G553" s="378"/>
      <c r="H553" s="378"/>
    </row>
    <row r="554" spans="1:8" ht="15.75" thickBot="1" x14ac:dyDescent="0.3">
      <c r="A554" s="522"/>
      <c r="B554" s="522"/>
      <c r="C554" s="542"/>
      <c r="D554" s="542"/>
      <c r="E554" s="542"/>
      <c r="F554" s="542"/>
      <c r="G554" s="378"/>
      <c r="H554" s="378"/>
    </row>
    <row r="555" spans="1:8" ht="15.75" thickBot="1" x14ac:dyDescent="0.3">
      <c r="A555" s="726" t="s">
        <v>1031</v>
      </c>
      <c r="B555" s="727"/>
      <c r="C555" s="727"/>
      <c r="D555" s="727"/>
      <c r="E555" s="727"/>
      <c r="F555" s="728"/>
      <c r="G555" s="378"/>
      <c r="H555" s="378"/>
    </row>
    <row r="556" spans="1:8" x14ac:dyDescent="0.25">
      <c r="A556" s="522"/>
      <c r="B556" s="522"/>
      <c r="C556" s="523"/>
      <c r="D556" s="523"/>
      <c r="E556" s="523"/>
      <c r="F556" s="523"/>
      <c r="G556" s="378"/>
      <c r="H556" s="378"/>
    </row>
    <row r="557" spans="1:8" x14ac:dyDescent="0.25">
      <c r="A557" s="524" t="s">
        <v>230</v>
      </c>
      <c r="B557" s="524" t="s">
        <v>891</v>
      </c>
      <c r="C557" s="525"/>
      <c r="D557" s="526"/>
      <c r="E557" s="526">
        <f>SUM(D558:D558)</f>
        <v>400000</v>
      </c>
      <c r="F557" s="542"/>
      <c r="G557" s="378"/>
      <c r="H557" s="378"/>
    </row>
    <row r="558" spans="1:8" x14ac:dyDescent="0.25">
      <c r="A558" s="527"/>
      <c r="B558" s="527" t="s">
        <v>1032</v>
      </c>
      <c r="C558" s="529"/>
      <c r="D558" s="528">
        <v>400000</v>
      </c>
      <c r="E558" s="528"/>
      <c r="F558" s="542"/>
      <c r="G558" s="378"/>
      <c r="H558" s="378"/>
    </row>
    <row r="559" spans="1:8" x14ac:dyDescent="0.25">
      <c r="A559" s="524" t="s">
        <v>255</v>
      </c>
      <c r="B559" s="524" t="s">
        <v>888</v>
      </c>
      <c r="C559" s="525"/>
      <c r="D559" s="526"/>
      <c r="E559" s="526">
        <v>108000</v>
      </c>
      <c r="F559" s="528"/>
      <c r="G559" s="378"/>
      <c r="H559" s="378"/>
    </row>
    <row r="560" spans="1:8" ht="15.75" thickBot="1" x14ac:dyDescent="0.3">
      <c r="A560" s="530" t="s">
        <v>889</v>
      </c>
      <c r="B560" s="535"/>
      <c r="C560" s="538"/>
      <c r="D560" s="544"/>
      <c r="E560" s="544"/>
      <c r="F560" s="533">
        <f>SUM(E557:E559)</f>
        <v>508000</v>
      </c>
      <c r="G560" s="378"/>
      <c r="H560" s="378"/>
    </row>
    <row r="561" spans="1:8" ht="15.75" thickBot="1" x14ac:dyDescent="0.3">
      <c r="A561" s="724" t="s">
        <v>1342</v>
      </c>
      <c r="B561" s="724"/>
      <c r="C561" s="541"/>
      <c r="D561" s="555"/>
      <c r="E561" s="555"/>
      <c r="F561" s="539">
        <f>SUM(F560)</f>
        <v>508000</v>
      </c>
      <c r="G561" s="378"/>
      <c r="H561" s="378"/>
    </row>
    <row r="562" spans="1:8" x14ac:dyDescent="0.25">
      <c r="A562" s="540"/>
      <c r="B562" s="540"/>
      <c r="C562" s="541"/>
      <c r="D562" s="541"/>
      <c r="E562" s="541"/>
      <c r="F562" s="541"/>
      <c r="G562" s="378"/>
      <c r="H562" s="378"/>
    </row>
    <row r="563" spans="1:8" ht="15.75" thickBot="1" x14ac:dyDescent="0.3">
      <c r="A563" s="522"/>
      <c r="B563" s="522"/>
      <c r="C563" s="523"/>
      <c r="D563" s="523"/>
      <c r="E563" s="523"/>
      <c r="F563" s="523"/>
      <c r="G563" s="378"/>
      <c r="H563" s="378"/>
    </row>
    <row r="564" spans="1:8" ht="15.75" thickBot="1" x14ac:dyDescent="0.3">
      <c r="A564" s="726" t="s">
        <v>160</v>
      </c>
      <c r="B564" s="727"/>
      <c r="C564" s="727"/>
      <c r="D564" s="727"/>
      <c r="E564" s="727"/>
      <c r="F564" s="728"/>
      <c r="G564" s="378"/>
      <c r="H564" s="378"/>
    </row>
    <row r="565" spans="1:8" x14ac:dyDescent="0.25">
      <c r="A565" s="522"/>
      <c r="B565" s="522"/>
      <c r="C565" s="542"/>
      <c r="D565" s="542"/>
      <c r="E565" s="542"/>
      <c r="F565" s="542"/>
      <c r="G565" s="378"/>
      <c r="H565" s="378"/>
    </row>
    <row r="566" spans="1:8" x14ac:dyDescent="0.25">
      <c r="A566" s="524" t="s">
        <v>240</v>
      </c>
      <c r="B566" s="524" t="s">
        <v>158</v>
      </c>
      <c r="C566" s="526"/>
      <c r="D566" s="526"/>
      <c r="E566" s="526">
        <f>SUM(D567:D568)</f>
        <v>84000</v>
      </c>
      <c r="F566" s="542"/>
      <c r="G566" s="378"/>
      <c r="H566" s="378"/>
    </row>
    <row r="567" spans="1:8" x14ac:dyDescent="0.25">
      <c r="A567" s="527"/>
      <c r="B567" s="527" t="s">
        <v>899</v>
      </c>
      <c r="C567" s="528">
        <v>2000</v>
      </c>
      <c r="D567" s="528">
        <f>SUM(C567*12)</f>
        <v>24000</v>
      </c>
      <c r="E567" s="528"/>
      <c r="F567" s="542"/>
      <c r="G567" s="378"/>
      <c r="H567" s="378"/>
    </row>
    <row r="568" spans="1:8" x14ac:dyDescent="0.25">
      <c r="A568" s="527"/>
      <c r="B568" s="527" t="s">
        <v>900</v>
      </c>
      <c r="C568" s="528">
        <v>5000</v>
      </c>
      <c r="D568" s="528">
        <f>SUM(C568*12)</f>
        <v>60000</v>
      </c>
      <c r="E568" s="528"/>
      <c r="F568" s="542"/>
      <c r="G568" s="378"/>
      <c r="H568" s="378"/>
    </row>
    <row r="569" spans="1:8" x14ac:dyDescent="0.25">
      <c r="A569" s="524" t="s">
        <v>255</v>
      </c>
      <c r="B569" s="524" t="s">
        <v>888</v>
      </c>
      <c r="C569" s="526"/>
      <c r="D569" s="526"/>
      <c r="E569" s="526">
        <v>26000</v>
      </c>
      <c r="F569" s="528"/>
      <c r="G569" s="378"/>
      <c r="H569" s="378"/>
    </row>
    <row r="570" spans="1:8" ht="15.75" thickBot="1" x14ac:dyDescent="0.3">
      <c r="A570" s="530" t="s">
        <v>889</v>
      </c>
      <c r="B570" s="535"/>
      <c r="C570" s="544"/>
      <c r="D570" s="544"/>
      <c r="E570" s="544"/>
      <c r="F570" s="533">
        <f>SUM(E566:E569)</f>
        <v>110000</v>
      </c>
      <c r="G570" s="378"/>
      <c r="H570" s="378"/>
    </row>
    <row r="571" spans="1:8" ht="15.75" thickBot="1" x14ac:dyDescent="0.3">
      <c r="A571" s="724" t="s">
        <v>1342</v>
      </c>
      <c r="B571" s="724"/>
      <c r="C571" s="555"/>
      <c r="D571" s="555"/>
      <c r="E571" s="555"/>
      <c r="F571" s="539">
        <f>SUM(F570)</f>
        <v>110000</v>
      </c>
      <c r="G571" s="378"/>
      <c r="H571" s="378"/>
    </row>
    <row r="572" spans="1:8" x14ac:dyDescent="0.25">
      <c r="A572" s="540"/>
      <c r="B572" s="540"/>
      <c r="C572" s="541"/>
      <c r="D572" s="541"/>
      <c r="E572" s="541"/>
      <c r="F572" s="541"/>
      <c r="G572" s="378"/>
      <c r="H572" s="378"/>
    </row>
    <row r="573" spans="1:8" ht="15.75" thickBot="1" x14ac:dyDescent="0.3">
      <c r="A573" s="540"/>
      <c r="B573" s="540"/>
      <c r="C573" s="541"/>
      <c r="D573" s="541"/>
      <c r="E573" s="541"/>
      <c r="F573" s="541"/>
      <c r="G573" s="378"/>
      <c r="H573" s="378"/>
    </row>
    <row r="574" spans="1:8" ht="15.75" thickBot="1" x14ac:dyDescent="0.3">
      <c r="A574" s="731" t="s">
        <v>1374</v>
      </c>
      <c r="B574" s="732"/>
      <c r="C574" s="732"/>
      <c r="D574" s="732"/>
      <c r="E574" s="732"/>
      <c r="F574" s="733"/>
      <c r="G574" s="378"/>
      <c r="H574" s="378"/>
    </row>
    <row r="575" spans="1:8" x14ac:dyDescent="0.25">
      <c r="A575" s="583"/>
      <c r="B575" s="583"/>
      <c r="C575" s="584"/>
      <c r="D575" s="584"/>
      <c r="E575" s="584"/>
      <c r="F575" s="584"/>
      <c r="G575" s="378"/>
      <c r="H575" s="378"/>
    </row>
    <row r="576" spans="1:8" x14ac:dyDescent="0.25">
      <c r="A576" s="583" t="s">
        <v>229</v>
      </c>
      <c r="B576" s="583" t="s">
        <v>157</v>
      </c>
      <c r="C576" s="584"/>
      <c r="D576" s="584"/>
      <c r="E576" s="582">
        <v>80000</v>
      </c>
      <c r="F576" s="584"/>
      <c r="G576" s="378"/>
      <c r="H576" s="378"/>
    </row>
    <row r="577" spans="1:8" x14ac:dyDescent="0.25">
      <c r="A577" s="583" t="s">
        <v>247</v>
      </c>
      <c r="B577" s="583" t="s">
        <v>134</v>
      </c>
      <c r="C577" s="584"/>
      <c r="D577" s="584"/>
      <c r="E577" s="582">
        <v>5000</v>
      </c>
      <c r="F577" s="584"/>
      <c r="G577" s="378"/>
      <c r="H577" s="378"/>
    </row>
    <row r="578" spans="1:8" x14ac:dyDescent="0.25">
      <c r="A578" s="583" t="s">
        <v>255</v>
      </c>
      <c r="B578" s="583" t="s">
        <v>1375</v>
      </c>
      <c r="C578" s="584"/>
      <c r="D578" s="584"/>
      <c r="E578" s="582">
        <v>10000</v>
      </c>
      <c r="F578" s="584"/>
      <c r="G578" s="378"/>
      <c r="H578" s="378"/>
    </row>
    <row r="579" spans="1:8" ht="15.75" thickBot="1" x14ac:dyDescent="0.3">
      <c r="A579" s="568" t="s">
        <v>889</v>
      </c>
      <c r="B579" s="583"/>
      <c r="C579" s="584"/>
      <c r="D579" s="584"/>
      <c r="E579" s="584"/>
      <c r="F579" s="569">
        <f>SUM(E576:E578)</f>
        <v>95000</v>
      </c>
      <c r="G579" s="378"/>
      <c r="H579" s="378"/>
    </row>
    <row r="580" spans="1:8" ht="15.75" thickBot="1" x14ac:dyDescent="0.3">
      <c r="A580" s="725" t="s">
        <v>1342</v>
      </c>
      <c r="B580" s="725"/>
      <c r="C580" s="584"/>
      <c r="D580" s="584"/>
      <c r="E580" s="584"/>
      <c r="F580" s="613">
        <f>SUM(F579)</f>
        <v>95000</v>
      </c>
      <c r="G580" s="378"/>
      <c r="H580" s="378"/>
    </row>
    <row r="581" spans="1:8" x14ac:dyDescent="0.25">
      <c r="A581" s="378"/>
      <c r="B581" s="378"/>
      <c r="C581" s="521"/>
      <c r="D581" s="521"/>
      <c r="E581" s="521"/>
      <c r="F581" s="521"/>
      <c r="G581" s="378"/>
      <c r="H581" s="378"/>
    </row>
    <row r="582" spans="1:8" ht="15.75" thickBot="1" x14ac:dyDescent="0.3">
      <c r="A582" s="378"/>
      <c r="B582" s="378"/>
      <c r="C582" s="521"/>
      <c r="D582" s="521"/>
      <c r="E582" s="521"/>
      <c r="F582" s="521"/>
      <c r="G582" s="378"/>
      <c r="H582" s="378"/>
    </row>
    <row r="583" spans="1:8" ht="15.75" thickBot="1" x14ac:dyDescent="0.3">
      <c r="A583" s="726" t="s">
        <v>163</v>
      </c>
      <c r="B583" s="727"/>
      <c r="C583" s="727"/>
      <c r="D583" s="727"/>
      <c r="E583" s="727"/>
      <c r="F583" s="728"/>
      <c r="G583" s="378"/>
      <c r="H583" s="378"/>
    </row>
    <row r="584" spans="1:8" x14ac:dyDescent="0.25">
      <c r="A584" s="522"/>
      <c r="B584" s="522"/>
      <c r="C584" s="523"/>
      <c r="D584" s="523"/>
      <c r="E584" s="523"/>
      <c r="F584" s="523"/>
      <c r="G584" s="378"/>
      <c r="H584" s="378"/>
    </row>
    <row r="585" spans="1:8" x14ac:dyDescent="0.25">
      <c r="A585" s="524" t="s">
        <v>195</v>
      </c>
      <c r="B585" s="524" t="s">
        <v>877</v>
      </c>
      <c r="C585" s="528"/>
      <c r="D585" s="528"/>
      <c r="E585" s="526">
        <f>SUM(D586:D587)</f>
        <v>1623500</v>
      </c>
      <c r="F585" s="542"/>
      <c r="G585" s="378"/>
      <c r="H585" s="378"/>
    </row>
    <row r="586" spans="1:8" x14ac:dyDescent="0.25">
      <c r="A586" s="527"/>
      <c r="B586" s="527" t="s">
        <v>45</v>
      </c>
      <c r="C586" s="528">
        <v>116500</v>
      </c>
      <c r="D586" s="528">
        <f>SUM(C586*1)</f>
        <v>116500</v>
      </c>
      <c r="E586" s="528"/>
      <c r="F586" s="542"/>
      <c r="G586" s="378"/>
      <c r="H586" s="378"/>
    </row>
    <row r="587" spans="1:8" x14ac:dyDescent="0.25">
      <c r="A587" s="527"/>
      <c r="B587" s="527"/>
      <c r="C587" s="552">
        <v>137000</v>
      </c>
      <c r="D587" s="552">
        <f>SUM(C587*11)</f>
        <v>1507000</v>
      </c>
      <c r="E587" s="528"/>
      <c r="F587" s="542"/>
      <c r="G587" s="378"/>
      <c r="H587" s="378"/>
    </row>
    <row r="588" spans="1:8" x14ac:dyDescent="0.25">
      <c r="A588" s="524" t="s">
        <v>197</v>
      </c>
      <c r="B588" s="524" t="s">
        <v>23</v>
      </c>
      <c r="C588" s="526"/>
      <c r="D588" s="526"/>
      <c r="E588" s="526">
        <f>SUM(D589)</f>
        <v>0</v>
      </c>
      <c r="F588" s="542"/>
      <c r="G588" s="378"/>
      <c r="H588" s="378"/>
    </row>
    <row r="589" spans="1:8" x14ac:dyDescent="0.25">
      <c r="A589" s="527"/>
      <c r="B589" s="527">
        <v>0</v>
      </c>
      <c r="C589" s="528"/>
      <c r="D589" s="528">
        <v>0</v>
      </c>
      <c r="E589" s="528"/>
      <c r="F589" s="542"/>
      <c r="G589" s="378"/>
      <c r="H589" s="378"/>
    </row>
    <row r="590" spans="1:8" x14ac:dyDescent="0.25">
      <c r="A590" s="524" t="s">
        <v>206</v>
      </c>
      <c r="B590" s="524" t="s">
        <v>205</v>
      </c>
      <c r="C590" s="526"/>
      <c r="D590" s="526"/>
      <c r="E590" s="526">
        <f>SUM(D591)</f>
        <v>60000</v>
      </c>
      <c r="F590" s="542"/>
      <c r="G590" s="378"/>
      <c r="H590" s="378"/>
    </row>
    <row r="591" spans="1:8" x14ac:dyDescent="0.25">
      <c r="A591" s="527"/>
      <c r="B591" s="527" t="s">
        <v>45</v>
      </c>
      <c r="C591" s="528"/>
      <c r="D591" s="528">
        <v>60000</v>
      </c>
      <c r="E591" s="528"/>
      <c r="F591" s="542"/>
      <c r="G591" s="378"/>
      <c r="H591" s="378"/>
    </row>
    <row r="592" spans="1:8" x14ac:dyDescent="0.25">
      <c r="A592" s="524" t="s">
        <v>210</v>
      </c>
      <c r="B592" s="524" t="s">
        <v>878</v>
      </c>
      <c r="C592" s="526"/>
      <c r="D592" s="526"/>
      <c r="E592" s="526">
        <f>SUM(D593:D593)</f>
        <v>0</v>
      </c>
      <c r="F592" s="528"/>
      <c r="G592" s="378"/>
      <c r="H592" s="378"/>
    </row>
    <row r="593" spans="1:8" x14ac:dyDescent="0.25">
      <c r="A593" s="527"/>
      <c r="B593" s="527"/>
      <c r="C593" s="528"/>
      <c r="D593" s="528"/>
      <c r="E593" s="528"/>
      <c r="F593" s="528"/>
      <c r="G593" s="378"/>
      <c r="H593" s="378"/>
    </row>
    <row r="594" spans="1:8" x14ac:dyDescent="0.25">
      <c r="A594" s="530" t="s">
        <v>879</v>
      </c>
      <c r="B594" s="535"/>
      <c r="C594" s="544"/>
      <c r="D594" s="544"/>
      <c r="E594" s="544"/>
      <c r="F594" s="532">
        <f>SUM(E585:E593)</f>
        <v>1683500</v>
      </c>
      <c r="G594" s="378"/>
      <c r="H594" s="378"/>
    </row>
    <row r="595" spans="1:8" x14ac:dyDescent="0.25">
      <c r="A595" s="524" t="s">
        <v>228</v>
      </c>
      <c r="B595" s="524" t="s">
        <v>880</v>
      </c>
      <c r="C595" s="526"/>
      <c r="D595" s="526"/>
      <c r="E595" s="526">
        <f>SUM(D596:D600)</f>
        <v>230767.5</v>
      </c>
      <c r="F595" s="528"/>
      <c r="G595" s="378"/>
      <c r="H595" s="378"/>
    </row>
    <row r="596" spans="1:8" x14ac:dyDescent="0.25">
      <c r="A596" s="524"/>
      <c r="B596" s="524" t="s">
        <v>12</v>
      </c>
      <c r="C596" s="526"/>
      <c r="D596" s="526">
        <f>SUM(C597:C599)</f>
        <v>221767.5</v>
      </c>
      <c r="E596" s="526"/>
      <c r="F596" s="528"/>
      <c r="G596" s="378"/>
      <c r="H596" s="378"/>
    </row>
    <row r="597" spans="1:8" x14ac:dyDescent="0.25">
      <c r="A597" s="527"/>
      <c r="B597" s="527" t="s">
        <v>1373</v>
      </c>
      <c r="C597" s="528">
        <f>SUM(D586*0.155)</f>
        <v>18057.5</v>
      </c>
      <c r="D597" s="528"/>
      <c r="E597" s="528"/>
      <c r="F597" s="528"/>
      <c r="G597" s="378"/>
      <c r="H597" s="378"/>
    </row>
    <row r="598" spans="1:8" x14ac:dyDescent="0.25">
      <c r="A598" s="527"/>
      <c r="B598" s="527" t="s">
        <v>1361</v>
      </c>
      <c r="C598" s="528">
        <f>SUM(D587*0.13)</f>
        <v>195910</v>
      </c>
      <c r="D598" s="528"/>
      <c r="E598" s="528"/>
      <c r="F598" s="528"/>
      <c r="G598" s="378"/>
      <c r="H598" s="378"/>
    </row>
    <row r="599" spans="1:8" x14ac:dyDescent="0.25">
      <c r="A599" s="527"/>
      <c r="B599" s="527" t="s">
        <v>882</v>
      </c>
      <c r="C599" s="528">
        <f>SUM(E590*0.13)</f>
        <v>7800</v>
      </c>
      <c r="D599" s="528"/>
      <c r="E599" s="528"/>
      <c r="F599" s="528"/>
      <c r="G599" s="378"/>
      <c r="H599" s="378"/>
    </row>
    <row r="600" spans="1:8" x14ac:dyDescent="0.25">
      <c r="A600" s="527"/>
      <c r="B600" s="524" t="s">
        <v>883</v>
      </c>
      <c r="C600" s="528"/>
      <c r="D600" s="526">
        <f>SUM(C601:C601)</f>
        <v>9000</v>
      </c>
      <c r="E600" s="528">
        <f>SUM(D601:D601)</f>
        <v>0</v>
      </c>
      <c r="F600" s="528"/>
      <c r="G600" s="378"/>
      <c r="H600" s="378"/>
    </row>
    <row r="601" spans="1:8" x14ac:dyDescent="0.25">
      <c r="A601" s="527"/>
      <c r="B601" s="527" t="s">
        <v>884</v>
      </c>
      <c r="C601" s="528">
        <f>SUM(D591*0.15)</f>
        <v>9000</v>
      </c>
      <c r="D601" s="528"/>
      <c r="E601" s="528"/>
      <c r="F601" s="528"/>
      <c r="G601" s="378"/>
      <c r="H601" s="378"/>
    </row>
    <row r="602" spans="1:8" x14ac:dyDescent="0.25">
      <c r="A602" s="530" t="s">
        <v>885</v>
      </c>
      <c r="B602" s="535"/>
      <c r="C602" s="544"/>
      <c r="D602" s="544"/>
      <c r="E602" s="544"/>
      <c r="F602" s="533">
        <f>SUM(E595:E601)</f>
        <v>230767.5</v>
      </c>
      <c r="G602" s="378"/>
      <c r="H602" s="378"/>
    </row>
    <row r="603" spans="1:8" x14ac:dyDescent="0.25">
      <c r="A603" s="535" t="s">
        <v>229</v>
      </c>
      <c r="B603" s="535" t="s">
        <v>157</v>
      </c>
      <c r="C603" s="544"/>
      <c r="D603" s="556">
        <f>SUM(C604)</f>
        <v>0</v>
      </c>
      <c r="E603" s="544">
        <f>SUM(D603)</f>
        <v>0</v>
      </c>
      <c r="F603" s="555"/>
      <c r="G603" s="378"/>
      <c r="H603" s="378"/>
    </row>
    <row r="604" spans="1:8" x14ac:dyDescent="0.25">
      <c r="A604" s="535"/>
      <c r="B604" s="557"/>
      <c r="C604" s="556">
        <v>0</v>
      </c>
      <c r="D604" s="544"/>
      <c r="E604" s="544"/>
      <c r="F604" s="555"/>
      <c r="G604" s="378"/>
      <c r="H604" s="378"/>
    </row>
    <row r="605" spans="1:8" x14ac:dyDescent="0.25">
      <c r="A605" s="524" t="s">
        <v>230</v>
      </c>
      <c r="B605" s="524" t="s">
        <v>891</v>
      </c>
      <c r="C605" s="526"/>
      <c r="D605" s="526"/>
      <c r="E605" s="526">
        <f>SUM(D606:D607)</f>
        <v>20000</v>
      </c>
      <c r="F605" s="542"/>
      <c r="G605" s="378"/>
      <c r="H605" s="378"/>
    </row>
    <row r="606" spans="1:8" x14ac:dyDescent="0.25">
      <c r="A606" s="527"/>
      <c r="B606" s="527" t="s">
        <v>892</v>
      </c>
      <c r="C606" s="528"/>
      <c r="D606" s="528">
        <v>15000</v>
      </c>
      <c r="E606" s="528"/>
      <c r="F606" s="542"/>
      <c r="G606" s="378"/>
      <c r="H606" s="378"/>
    </row>
    <row r="607" spans="1:8" x14ac:dyDescent="0.25">
      <c r="A607" s="527"/>
      <c r="B607" s="527" t="s">
        <v>893</v>
      </c>
      <c r="C607" s="528"/>
      <c r="D607" s="528">
        <v>5000</v>
      </c>
      <c r="E607" s="528"/>
      <c r="F607" s="542"/>
      <c r="G607" s="378"/>
      <c r="H607" s="378"/>
    </row>
    <row r="608" spans="1:8" x14ac:dyDescent="0.25">
      <c r="A608" s="524" t="s">
        <v>235</v>
      </c>
      <c r="B608" s="524" t="s">
        <v>894</v>
      </c>
      <c r="C608" s="526"/>
      <c r="D608" s="526"/>
      <c r="E608" s="526">
        <f>SUM(D609:D609)</f>
        <v>30000</v>
      </c>
      <c r="F608" s="542"/>
      <c r="G608" s="378"/>
      <c r="H608" s="378"/>
    </row>
    <row r="609" spans="1:8" x14ac:dyDescent="0.25">
      <c r="A609" s="527"/>
      <c r="B609" s="527" t="s">
        <v>1033</v>
      </c>
      <c r="C609" s="528"/>
      <c r="D609" s="528">
        <v>30000</v>
      </c>
      <c r="E609" s="528"/>
      <c r="F609" s="542"/>
      <c r="G609" s="378"/>
      <c r="H609" s="378"/>
    </row>
    <row r="610" spans="1:8" x14ac:dyDescent="0.25">
      <c r="A610" s="524" t="s">
        <v>237</v>
      </c>
      <c r="B610" s="524" t="s">
        <v>897</v>
      </c>
      <c r="C610" s="526"/>
      <c r="D610" s="526"/>
      <c r="E610" s="526">
        <f>SUM(D611)</f>
        <v>1000</v>
      </c>
      <c r="F610" s="542"/>
      <c r="G610" s="378"/>
      <c r="H610" s="378"/>
    </row>
    <row r="611" spans="1:8" x14ac:dyDescent="0.25">
      <c r="A611" s="527"/>
      <c r="B611" s="527" t="s">
        <v>1033</v>
      </c>
      <c r="C611" s="528"/>
      <c r="D611" s="528">
        <v>1000</v>
      </c>
      <c r="E611" s="528"/>
      <c r="F611" s="542"/>
      <c r="G611" s="378"/>
      <c r="H611" s="378"/>
    </row>
    <row r="612" spans="1:8" x14ac:dyDescent="0.25">
      <c r="A612" s="524" t="s">
        <v>240</v>
      </c>
      <c r="B612" s="524" t="s">
        <v>158</v>
      </c>
      <c r="C612" s="526"/>
      <c r="D612" s="526"/>
      <c r="E612" s="526">
        <f>SUM(D613:D615)</f>
        <v>612000</v>
      </c>
      <c r="F612" s="542"/>
      <c r="G612" s="378"/>
      <c r="H612" s="378"/>
    </row>
    <row r="613" spans="1:8" x14ac:dyDescent="0.25">
      <c r="A613" s="527"/>
      <c r="B613" s="527" t="s">
        <v>898</v>
      </c>
      <c r="C613" s="528">
        <v>40000</v>
      </c>
      <c r="D613" s="528">
        <f>SUM(C613*12)</f>
        <v>480000</v>
      </c>
      <c r="E613" s="528"/>
      <c r="F613" s="542"/>
      <c r="G613" s="378"/>
      <c r="H613" s="378"/>
    </row>
    <row r="614" spans="1:8" x14ac:dyDescent="0.25">
      <c r="A614" s="527"/>
      <c r="B614" s="527" t="s">
        <v>899</v>
      </c>
      <c r="C614" s="528">
        <v>3000</v>
      </c>
      <c r="D614" s="528">
        <f>SUM(C614*12)</f>
        <v>36000</v>
      </c>
      <c r="E614" s="528"/>
      <c r="F614" s="542"/>
      <c r="G614" s="378"/>
      <c r="H614" s="378"/>
    </row>
    <row r="615" spans="1:8" x14ac:dyDescent="0.25">
      <c r="A615" s="527"/>
      <c r="B615" s="527" t="s">
        <v>900</v>
      </c>
      <c r="C615" s="528">
        <v>8000</v>
      </c>
      <c r="D615" s="528">
        <f>SUM(C615*12)</f>
        <v>96000</v>
      </c>
      <c r="E615" s="528"/>
      <c r="F615" s="542"/>
      <c r="G615" s="378"/>
      <c r="H615" s="378"/>
    </row>
    <row r="616" spans="1:8" x14ac:dyDescent="0.25">
      <c r="A616" s="524" t="s">
        <v>247</v>
      </c>
      <c r="B616" s="524" t="s">
        <v>146</v>
      </c>
      <c r="C616" s="526"/>
      <c r="D616" s="526"/>
      <c r="E616" s="526">
        <f>SUM(D617:D620)</f>
        <v>81000</v>
      </c>
      <c r="F616" s="542"/>
      <c r="G616" s="378"/>
      <c r="H616" s="378"/>
    </row>
    <row r="617" spans="1:8" x14ac:dyDescent="0.25">
      <c r="A617" s="527"/>
      <c r="B617" s="527" t="s">
        <v>1034</v>
      </c>
      <c r="C617" s="528"/>
      <c r="D617" s="528">
        <v>10000</v>
      </c>
      <c r="E617" s="528"/>
      <c r="F617" s="542"/>
      <c r="G617" s="378"/>
      <c r="H617" s="378"/>
    </row>
    <row r="618" spans="1:8" x14ac:dyDescent="0.25">
      <c r="A618" s="527"/>
      <c r="B618" s="527" t="s">
        <v>948</v>
      </c>
      <c r="C618" s="528"/>
      <c r="D618" s="528">
        <v>7000</v>
      </c>
      <c r="E618" s="528"/>
      <c r="F618" s="542"/>
      <c r="G618" s="378"/>
      <c r="H618" s="378"/>
    </row>
    <row r="619" spans="1:8" x14ac:dyDescent="0.25">
      <c r="A619" s="527"/>
      <c r="B619" s="527"/>
      <c r="C619" s="528"/>
      <c r="D619" s="528">
        <v>10000</v>
      </c>
      <c r="E619" s="528"/>
      <c r="F619" s="542"/>
      <c r="G619" s="378"/>
      <c r="H619" s="378"/>
    </row>
    <row r="620" spans="1:8" x14ac:dyDescent="0.25">
      <c r="A620" s="527"/>
      <c r="B620" s="527" t="s">
        <v>950</v>
      </c>
      <c r="C620" s="528">
        <v>13500</v>
      </c>
      <c r="D620" s="528">
        <f>SUM(C620*4)</f>
        <v>54000</v>
      </c>
      <c r="E620" s="528"/>
      <c r="F620" s="542"/>
      <c r="G620" s="378"/>
      <c r="H620" s="378"/>
    </row>
    <row r="621" spans="1:8" x14ac:dyDescent="0.25">
      <c r="A621" s="299" t="s">
        <v>250</v>
      </c>
      <c r="B621" s="299" t="s">
        <v>144</v>
      </c>
      <c r="C621" s="325"/>
      <c r="D621" s="325"/>
      <c r="E621" s="325">
        <v>5000</v>
      </c>
      <c r="F621" s="542"/>
      <c r="G621" s="378"/>
      <c r="H621" s="378"/>
    </row>
    <row r="622" spans="1:8" x14ac:dyDescent="0.25">
      <c r="A622" s="524" t="s">
        <v>255</v>
      </c>
      <c r="B622" s="524" t="s">
        <v>888</v>
      </c>
      <c r="C622" s="526"/>
      <c r="D622" s="526"/>
      <c r="E622" s="526">
        <v>200000</v>
      </c>
      <c r="F622" s="528"/>
      <c r="G622" s="378"/>
      <c r="H622" s="378"/>
    </row>
    <row r="623" spans="1:8" ht="15.75" thickBot="1" x14ac:dyDescent="0.3">
      <c r="A623" s="530" t="s">
        <v>889</v>
      </c>
      <c r="B623" s="535"/>
      <c r="C623" s="544"/>
      <c r="D623" s="544"/>
      <c r="E623" s="544"/>
      <c r="F623" s="533">
        <f>SUM(E603:E622)</f>
        <v>949000</v>
      </c>
      <c r="G623" s="378"/>
      <c r="H623" s="378"/>
    </row>
    <row r="624" spans="1:8" ht="15.75" thickBot="1" x14ac:dyDescent="0.3">
      <c r="A624" s="734" t="s">
        <v>1342</v>
      </c>
      <c r="B624" s="734"/>
      <c r="C624" s="607" t="s">
        <v>1376</v>
      </c>
      <c r="D624" s="607">
        <v>3049514</v>
      </c>
      <c r="E624" s="544"/>
      <c r="F624" s="539">
        <f>SUM(F594:F623)</f>
        <v>2863267.5</v>
      </c>
      <c r="G624" s="378"/>
      <c r="H624" s="378"/>
    </row>
    <row r="625" spans="1:8" x14ac:dyDescent="0.25">
      <c r="A625" s="540"/>
      <c r="B625" s="540"/>
      <c r="C625" s="541"/>
      <c r="D625" s="541"/>
      <c r="E625" s="541"/>
      <c r="F625" s="541"/>
      <c r="G625" s="378"/>
      <c r="H625" s="378"/>
    </row>
    <row r="626" spans="1:8" ht="15.75" thickBot="1" x14ac:dyDescent="0.3">
      <c r="A626" s="522"/>
      <c r="B626" s="522"/>
      <c r="C626" s="523"/>
      <c r="D626" s="523"/>
      <c r="E626" s="523"/>
      <c r="F626" s="523"/>
      <c r="G626" s="378"/>
      <c r="H626" s="378"/>
    </row>
    <row r="627" spans="1:8" ht="15.75" thickBot="1" x14ac:dyDescent="0.3">
      <c r="A627" s="726" t="s">
        <v>1035</v>
      </c>
      <c r="B627" s="727"/>
      <c r="C627" s="727"/>
      <c r="D627" s="727"/>
      <c r="E627" s="727"/>
      <c r="F627" s="728"/>
      <c r="G627" s="378"/>
      <c r="H627" s="378"/>
    </row>
    <row r="628" spans="1:8" x14ac:dyDescent="0.25">
      <c r="A628" s="522"/>
      <c r="B628" s="522"/>
      <c r="C628" s="523"/>
      <c r="D628" s="523"/>
      <c r="E628" s="523"/>
      <c r="F628" s="523"/>
      <c r="G628" s="378"/>
      <c r="H628" s="378"/>
    </row>
    <row r="629" spans="1:8" x14ac:dyDescent="0.25">
      <c r="A629" s="570" t="s">
        <v>195</v>
      </c>
      <c r="B629" s="570" t="s">
        <v>877</v>
      </c>
      <c r="C629" s="552"/>
      <c r="D629" s="552"/>
      <c r="E629" s="576">
        <f>SUM(D630:D632)</f>
        <v>3275100</v>
      </c>
      <c r="F629" s="552"/>
      <c r="G629" s="378"/>
      <c r="H629" s="378"/>
    </row>
    <row r="630" spans="1:8" x14ac:dyDescent="0.25">
      <c r="A630" s="378"/>
      <c r="B630" s="572" t="s">
        <v>1036</v>
      </c>
      <c r="C630" s="573">
        <v>336000</v>
      </c>
      <c r="D630" s="573">
        <f>SUM(C630*6)</f>
        <v>2016000</v>
      </c>
      <c r="E630" s="552"/>
      <c r="F630" s="552"/>
      <c r="G630" s="378"/>
      <c r="H630" s="378"/>
    </row>
    <row r="631" spans="1:8" x14ac:dyDescent="0.25">
      <c r="A631" s="378"/>
      <c r="B631" s="572" t="s">
        <v>10</v>
      </c>
      <c r="C631" s="573">
        <v>168000</v>
      </c>
      <c r="D631" s="573">
        <f>SUM(C631*6)</f>
        <v>1008000</v>
      </c>
      <c r="E631" s="552"/>
      <c r="F631" s="552"/>
      <c r="G631" s="378"/>
      <c r="H631" s="378"/>
    </row>
    <row r="632" spans="1:8" x14ac:dyDescent="0.25">
      <c r="A632" s="378"/>
      <c r="B632" s="567" t="s">
        <v>1037</v>
      </c>
      <c r="C632" s="581">
        <v>83700</v>
      </c>
      <c r="D632" s="581">
        <f>SUM(C632*3)</f>
        <v>251100</v>
      </c>
      <c r="E632" s="552"/>
      <c r="F632" s="552"/>
      <c r="G632" s="378"/>
      <c r="H632" s="378"/>
    </row>
    <row r="633" spans="1:8" x14ac:dyDescent="0.25">
      <c r="A633" s="570" t="s">
        <v>216</v>
      </c>
      <c r="B633" s="570" t="s">
        <v>1038</v>
      </c>
      <c r="C633" s="576"/>
      <c r="D633" s="576"/>
      <c r="E633" s="576">
        <f>SUM(D634:D634)</f>
        <v>0</v>
      </c>
      <c r="F633" s="552"/>
      <c r="G633" s="378"/>
      <c r="H633" s="378"/>
    </row>
    <row r="634" spans="1:8" x14ac:dyDescent="0.25">
      <c r="A634" s="570"/>
      <c r="B634" s="567"/>
      <c r="C634" s="581">
        <v>0</v>
      </c>
      <c r="D634" s="582">
        <f>SUM(C634*3)</f>
        <v>0</v>
      </c>
      <c r="E634" s="576"/>
      <c r="F634" s="552"/>
      <c r="G634" s="378"/>
      <c r="H634" s="378"/>
    </row>
    <row r="635" spans="1:8" ht="38.25" customHeight="1" x14ac:dyDescent="0.25">
      <c r="A635" s="570" t="s">
        <v>221</v>
      </c>
      <c r="B635" s="655" t="s">
        <v>1039</v>
      </c>
      <c r="C635" s="576"/>
      <c r="D635" s="576">
        <v>0</v>
      </c>
      <c r="E635" s="576">
        <f>SUM(D636)</f>
        <v>0</v>
      </c>
      <c r="F635" s="552"/>
      <c r="G635" s="378"/>
      <c r="H635" s="378"/>
    </row>
    <row r="636" spans="1:8" x14ac:dyDescent="0.25">
      <c r="A636" s="378"/>
      <c r="B636" s="567"/>
      <c r="C636" s="581">
        <v>0</v>
      </c>
      <c r="D636" s="581">
        <f>SUM(C636*12)</f>
        <v>0</v>
      </c>
      <c r="E636" s="552"/>
      <c r="F636" s="552"/>
      <c r="G636" s="378"/>
      <c r="H636" s="378"/>
    </row>
    <row r="637" spans="1:8" x14ac:dyDescent="0.25">
      <c r="A637" s="570" t="s">
        <v>222</v>
      </c>
      <c r="B637" s="570" t="s">
        <v>181</v>
      </c>
      <c r="C637" s="576"/>
      <c r="D637" s="576"/>
      <c r="E637" s="576">
        <f>SUM(D638)</f>
        <v>0</v>
      </c>
      <c r="F637" s="552"/>
      <c r="G637" s="378"/>
      <c r="H637" s="378"/>
    </row>
    <row r="638" spans="1:8" x14ac:dyDescent="0.25">
      <c r="A638" s="378"/>
      <c r="B638" s="567"/>
      <c r="C638" s="581">
        <v>0</v>
      </c>
      <c r="D638" s="581">
        <f>SUM(C638*12)</f>
        <v>0</v>
      </c>
      <c r="E638" s="552"/>
      <c r="F638" s="552"/>
      <c r="G638" s="378"/>
      <c r="H638" s="378"/>
    </row>
    <row r="639" spans="1:8" x14ac:dyDescent="0.25">
      <c r="A639" s="568" t="s">
        <v>879</v>
      </c>
      <c r="B639" s="583"/>
      <c r="C639" s="582"/>
      <c r="D639" s="582"/>
      <c r="E639" s="582"/>
      <c r="F639" s="602">
        <f>SUM(E629:E638)</f>
        <v>3275100</v>
      </c>
      <c r="G639" s="378"/>
      <c r="H639" s="378"/>
    </row>
    <row r="640" spans="1:8" x14ac:dyDescent="0.25">
      <c r="A640" s="570" t="s">
        <v>228</v>
      </c>
      <c r="B640" s="583" t="s">
        <v>880</v>
      </c>
      <c r="C640" s="582"/>
      <c r="D640" s="582"/>
      <c r="E640" s="582">
        <f>SUM(D641+D646)</f>
        <v>425763.13</v>
      </c>
      <c r="F640" s="552"/>
      <c r="G640" s="378"/>
      <c r="H640" s="378"/>
    </row>
    <row r="641" spans="1:8" x14ac:dyDescent="0.25">
      <c r="A641" s="570"/>
      <c r="B641" s="583" t="s">
        <v>881</v>
      </c>
      <c r="C641" s="582"/>
      <c r="D641" s="582">
        <f>SUM(C642:C645)</f>
        <v>425763.13</v>
      </c>
      <c r="E641" s="582"/>
      <c r="F641" s="552"/>
      <c r="G641" s="378"/>
      <c r="H641" s="378"/>
    </row>
    <row r="642" spans="1:8" x14ac:dyDescent="0.25">
      <c r="A642" s="570"/>
      <c r="B642" s="572" t="s">
        <v>1209</v>
      </c>
      <c r="C642" s="573">
        <f>SUM(E629*0.13)</f>
        <v>425763</v>
      </c>
      <c r="D642" s="582"/>
      <c r="E642" s="582"/>
      <c r="F642" s="552"/>
      <c r="G642" s="378"/>
      <c r="H642" s="378"/>
    </row>
    <row r="643" spans="1:8" x14ac:dyDescent="0.25">
      <c r="A643" s="570"/>
      <c r="B643" s="572" t="s">
        <v>1211</v>
      </c>
      <c r="C643" s="573">
        <f>SUM(D635+0.13)</f>
        <v>0.13</v>
      </c>
      <c r="D643" s="582"/>
      <c r="E643" s="582"/>
      <c r="F643" s="552"/>
      <c r="G643" s="378"/>
      <c r="H643" s="378"/>
    </row>
    <row r="644" spans="1:8" x14ac:dyDescent="0.25">
      <c r="A644" s="570"/>
      <c r="B644" s="567" t="s">
        <v>1213</v>
      </c>
      <c r="C644" s="581">
        <f>SUM(E635*0.155)</f>
        <v>0</v>
      </c>
      <c r="D644" s="582"/>
      <c r="E644" s="582"/>
      <c r="F644" s="552"/>
      <c r="G644" s="378"/>
      <c r="H644" s="378"/>
    </row>
    <row r="645" spans="1:8" x14ac:dyDescent="0.25">
      <c r="A645" s="378"/>
      <c r="B645" s="567" t="s">
        <v>1212</v>
      </c>
      <c r="C645" s="581">
        <f>SUM(E637*0.155)</f>
        <v>0</v>
      </c>
      <c r="D645" s="581"/>
      <c r="E645" s="581"/>
      <c r="F645" s="552"/>
      <c r="G645" s="378"/>
      <c r="H645" s="378"/>
    </row>
    <row r="646" spans="1:8" x14ac:dyDescent="0.25">
      <c r="A646" s="378"/>
      <c r="B646" s="583" t="s">
        <v>883</v>
      </c>
      <c r="C646" s="581"/>
      <c r="D646" s="582">
        <f>SUM(C647:C648)</f>
        <v>0</v>
      </c>
      <c r="E646" s="581"/>
      <c r="F646" s="552"/>
      <c r="G646" s="378"/>
      <c r="H646" s="378"/>
    </row>
    <row r="647" spans="1:8" x14ac:dyDescent="0.25">
      <c r="A647" s="378"/>
      <c r="B647" s="378"/>
      <c r="C647" s="552"/>
      <c r="D647" s="552"/>
      <c r="E647" s="552"/>
      <c r="F647" s="552"/>
      <c r="G647" s="378"/>
      <c r="H647" s="378"/>
    </row>
    <row r="648" spans="1:8" x14ac:dyDescent="0.25">
      <c r="A648" s="378"/>
      <c r="B648" s="378"/>
      <c r="C648" s="552"/>
      <c r="D648" s="552"/>
      <c r="E648" s="552"/>
      <c r="F648" s="552"/>
      <c r="G648" s="378"/>
      <c r="H648" s="378"/>
    </row>
    <row r="649" spans="1:8" x14ac:dyDescent="0.25">
      <c r="A649" s="568" t="s">
        <v>885</v>
      </c>
      <c r="B649" s="583"/>
      <c r="C649" s="582"/>
      <c r="D649" s="582"/>
      <c r="E649" s="582"/>
      <c r="F649" s="569">
        <f>SUM(E640:E648)</f>
        <v>425763.13</v>
      </c>
      <c r="G649" s="378"/>
      <c r="H649" s="378"/>
    </row>
    <row r="650" spans="1:8" x14ac:dyDescent="0.25">
      <c r="A650" s="570" t="s">
        <v>230</v>
      </c>
      <c r="B650" s="570" t="s">
        <v>891</v>
      </c>
      <c r="C650" s="576"/>
      <c r="D650" s="576"/>
      <c r="E650" s="576">
        <f>SUM(D651:D653)</f>
        <v>400000</v>
      </c>
      <c r="F650" s="552"/>
      <c r="G650" s="378"/>
      <c r="H650" s="378"/>
    </row>
    <row r="651" spans="1:8" x14ac:dyDescent="0.25">
      <c r="A651" s="378"/>
      <c r="B651" s="378" t="s">
        <v>892</v>
      </c>
      <c r="C651" s="552"/>
      <c r="D651" s="552">
        <v>50000</v>
      </c>
      <c r="E651" s="552"/>
      <c r="F651" s="552"/>
      <c r="G651" s="378"/>
      <c r="H651" s="378"/>
    </row>
    <row r="652" spans="1:8" x14ac:dyDescent="0.25">
      <c r="A652" s="378"/>
      <c r="B652" s="378" t="s">
        <v>893</v>
      </c>
      <c r="C652" s="552"/>
      <c r="D652" s="552">
        <v>200000</v>
      </c>
      <c r="E652" s="552"/>
      <c r="F652" s="552"/>
      <c r="G652" s="378"/>
      <c r="H652" s="378"/>
    </row>
    <row r="653" spans="1:8" x14ac:dyDescent="0.25">
      <c r="A653" s="378"/>
      <c r="B653" s="378" t="s">
        <v>909</v>
      </c>
      <c r="C653" s="552"/>
      <c r="D653" s="552">
        <v>150000</v>
      </c>
      <c r="E653" s="552"/>
      <c r="F653" s="552"/>
      <c r="G653" s="378"/>
      <c r="H653" s="378"/>
    </row>
    <row r="654" spans="1:8" x14ac:dyDescent="0.25">
      <c r="A654" s="570" t="s">
        <v>235</v>
      </c>
      <c r="B654" s="570" t="s">
        <v>894</v>
      </c>
      <c r="C654" s="576"/>
      <c r="D654" s="576"/>
      <c r="E654" s="576">
        <f>SUM(D655:D655)</f>
        <v>36000</v>
      </c>
      <c r="F654" s="552"/>
      <c r="G654" s="378"/>
      <c r="H654" s="378"/>
    </row>
    <row r="655" spans="1:8" x14ac:dyDescent="0.25">
      <c r="A655" s="378"/>
      <c r="B655" s="378" t="s">
        <v>896</v>
      </c>
      <c r="C655" s="552">
        <v>3000</v>
      </c>
      <c r="D655" s="552">
        <f>SUM(C655*12)</f>
        <v>36000</v>
      </c>
      <c r="E655" s="552"/>
      <c r="F655" s="552"/>
      <c r="G655" s="378"/>
      <c r="H655" s="378"/>
    </row>
    <row r="656" spans="1:8" x14ac:dyDescent="0.25">
      <c r="A656" s="570" t="s">
        <v>237</v>
      </c>
      <c r="B656" s="570" t="s">
        <v>897</v>
      </c>
      <c r="C656" s="576"/>
      <c r="D656" s="576"/>
      <c r="E656" s="576">
        <f>SUM(D657)</f>
        <v>54000</v>
      </c>
      <c r="F656" s="552"/>
      <c r="G656" s="378"/>
      <c r="H656" s="378"/>
    </row>
    <row r="657" spans="1:8" x14ac:dyDescent="0.25">
      <c r="A657" s="378"/>
      <c r="B657" s="378" t="s">
        <v>896</v>
      </c>
      <c r="C657" s="552">
        <v>4500</v>
      </c>
      <c r="D657" s="552">
        <f>SUM(C657*12)</f>
        <v>54000</v>
      </c>
      <c r="E657" s="552"/>
      <c r="F657" s="552"/>
      <c r="G657" s="378"/>
      <c r="H657" s="378"/>
    </row>
    <row r="658" spans="1:8" x14ac:dyDescent="0.25">
      <c r="A658" s="570" t="s">
        <v>240</v>
      </c>
      <c r="B658" s="570" t="s">
        <v>158</v>
      </c>
      <c r="C658" s="576"/>
      <c r="D658" s="576"/>
      <c r="E658" s="576">
        <f>SUM(D659:D661)</f>
        <v>696000</v>
      </c>
      <c r="F658" s="552"/>
      <c r="G658" s="378"/>
      <c r="H658" s="378"/>
    </row>
    <row r="659" spans="1:8" x14ac:dyDescent="0.25">
      <c r="A659" s="378"/>
      <c r="B659" s="378" t="s">
        <v>898</v>
      </c>
      <c r="C659" s="552">
        <v>35000</v>
      </c>
      <c r="D659" s="552">
        <f>SUM(C659*12)</f>
        <v>420000</v>
      </c>
      <c r="E659" s="552"/>
      <c r="F659" s="552"/>
      <c r="G659" s="378"/>
      <c r="H659" s="378"/>
    </row>
    <row r="660" spans="1:8" x14ac:dyDescent="0.25">
      <c r="A660" s="378"/>
      <c r="B660" s="378" t="s">
        <v>899</v>
      </c>
      <c r="C660" s="552">
        <v>3000</v>
      </c>
      <c r="D660" s="552">
        <f>SUM(C660*12)</f>
        <v>36000</v>
      </c>
      <c r="E660" s="552"/>
      <c r="F660" s="552"/>
      <c r="G660" s="378"/>
      <c r="H660" s="378"/>
    </row>
    <row r="661" spans="1:8" x14ac:dyDescent="0.25">
      <c r="A661" s="378"/>
      <c r="B661" s="378" t="s">
        <v>900</v>
      </c>
      <c r="C661" s="552">
        <v>20000</v>
      </c>
      <c r="D661" s="552">
        <f>SUM(C661*12)</f>
        <v>240000</v>
      </c>
      <c r="E661" s="552"/>
      <c r="F661" s="552"/>
      <c r="G661" s="378"/>
      <c r="H661" s="378"/>
    </row>
    <row r="662" spans="1:8" x14ac:dyDescent="0.25">
      <c r="A662" s="570" t="s">
        <v>243</v>
      </c>
      <c r="B662" s="570" t="s">
        <v>902</v>
      </c>
      <c r="C662" s="576"/>
      <c r="D662" s="576"/>
      <c r="E662" s="576">
        <f>SUM(D663:D664)</f>
        <v>53000</v>
      </c>
      <c r="F662" s="552"/>
      <c r="G662" s="378"/>
      <c r="H662" s="378"/>
    </row>
    <row r="663" spans="1:8" x14ac:dyDescent="0.25">
      <c r="A663" s="378"/>
      <c r="B663" s="378" t="s">
        <v>903</v>
      </c>
      <c r="C663" s="552"/>
      <c r="D663" s="552">
        <v>3000</v>
      </c>
      <c r="E663" s="552"/>
      <c r="F663" s="552"/>
      <c r="G663" s="378"/>
      <c r="H663" s="378"/>
    </row>
    <row r="664" spans="1:8" x14ac:dyDescent="0.25">
      <c r="A664" s="378"/>
      <c r="B664" s="378"/>
      <c r="C664" s="552"/>
      <c r="D664" s="552">
        <v>50000</v>
      </c>
      <c r="E664" s="552"/>
      <c r="F664" s="552"/>
      <c r="G664" s="378"/>
      <c r="H664" s="378"/>
    </row>
    <row r="665" spans="1:8" x14ac:dyDescent="0.25">
      <c r="A665" s="570" t="s">
        <v>246</v>
      </c>
      <c r="B665" s="570" t="s">
        <v>887</v>
      </c>
      <c r="C665" s="576"/>
      <c r="D665" s="576"/>
      <c r="E665" s="576">
        <f>SUM(D666)</f>
        <v>1050000</v>
      </c>
      <c r="F665" s="576"/>
      <c r="G665" s="378"/>
      <c r="H665" s="378"/>
    </row>
    <row r="666" spans="1:8" x14ac:dyDescent="0.25">
      <c r="A666" s="378"/>
      <c r="B666" s="572" t="s">
        <v>1041</v>
      </c>
      <c r="C666" s="573">
        <v>150000</v>
      </c>
      <c r="D666" s="573">
        <f>SUM(C666*7)</f>
        <v>1050000</v>
      </c>
      <c r="E666" s="552"/>
      <c r="F666" s="552"/>
      <c r="G666" s="378"/>
      <c r="H666" s="378"/>
    </row>
    <row r="667" spans="1:8" x14ac:dyDescent="0.25">
      <c r="A667" s="570" t="s">
        <v>247</v>
      </c>
      <c r="B667" s="570" t="s">
        <v>146</v>
      </c>
      <c r="C667" s="576"/>
      <c r="D667" s="576"/>
      <c r="E667" s="576">
        <f>SUM(D668:D672)</f>
        <v>17864607</v>
      </c>
      <c r="F667" s="552"/>
      <c r="G667" s="378"/>
      <c r="H667" s="378"/>
    </row>
    <row r="668" spans="1:8" x14ac:dyDescent="0.25">
      <c r="A668" s="570"/>
      <c r="B668" s="572" t="s">
        <v>1429</v>
      </c>
      <c r="C668" s="573"/>
      <c r="D668" s="573">
        <v>17780225</v>
      </c>
      <c r="E668" s="576"/>
      <c r="F668" s="552"/>
      <c r="G668" s="378"/>
      <c r="H668" s="378"/>
    </row>
    <row r="669" spans="1:8" x14ac:dyDescent="0.25">
      <c r="A669" s="378"/>
      <c r="B669" s="378" t="s">
        <v>1034</v>
      </c>
      <c r="C669" s="552"/>
      <c r="D669" s="552">
        <v>10000</v>
      </c>
      <c r="E669" s="552"/>
      <c r="F669" s="552"/>
      <c r="G669" s="378"/>
      <c r="H669" s="378"/>
    </row>
    <row r="670" spans="1:8" x14ac:dyDescent="0.25">
      <c r="A670" s="378"/>
      <c r="B670" s="378" t="s">
        <v>1040</v>
      </c>
      <c r="C670" s="552">
        <v>4171</v>
      </c>
      <c r="D670" s="552">
        <f>SUM(C670*12)</f>
        <v>50052</v>
      </c>
      <c r="E670" s="552"/>
      <c r="F670" s="552"/>
      <c r="G670" s="378"/>
      <c r="H670" s="378"/>
    </row>
    <row r="671" spans="1:8" x14ac:dyDescent="0.25">
      <c r="A671" s="378"/>
      <c r="B671" s="378" t="s">
        <v>905</v>
      </c>
      <c r="C671" s="552"/>
      <c r="D671" s="552">
        <v>4330</v>
      </c>
      <c r="E671" s="552"/>
      <c r="F671" s="552"/>
      <c r="G671" s="378"/>
      <c r="H671" s="378"/>
    </row>
    <row r="672" spans="1:8" x14ac:dyDescent="0.25">
      <c r="A672" s="378"/>
      <c r="B672" s="378" t="s">
        <v>906</v>
      </c>
      <c r="C672" s="552">
        <v>5000</v>
      </c>
      <c r="D672" s="552">
        <f>SUM(C672*4)</f>
        <v>20000</v>
      </c>
      <c r="E672" s="552"/>
      <c r="F672" s="552"/>
      <c r="G672" s="378"/>
      <c r="H672" s="378"/>
    </row>
    <row r="673" spans="1:8" x14ac:dyDescent="0.25">
      <c r="A673" s="570" t="s">
        <v>255</v>
      </c>
      <c r="B673" s="570" t="s">
        <v>888</v>
      </c>
      <c r="C673" s="576"/>
      <c r="D673" s="576"/>
      <c r="E673" s="576">
        <v>640000</v>
      </c>
      <c r="F673" s="552"/>
      <c r="G673" s="378"/>
      <c r="H673" s="378"/>
    </row>
    <row r="674" spans="1:8" x14ac:dyDescent="0.25">
      <c r="A674" s="570" t="s">
        <v>262</v>
      </c>
      <c r="B674" s="570" t="s">
        <v>175</v>
      </c>
      <c r="C674" s="552"/>
      <c r="D674" s="552"/>
      <c r="E674" s="576">
        <f>SUM(D675)</f>
        <v>10000</v>
      </c>
      <c r="F674" s="552"/>
      <c r="G674" s="378"/>
      <c r="H674" s="378"/>
    </row>
    <row r="675" spans="1:8" x14ac:dyDescent="0.25">
      <c r="A675" s="378"/>
      <c r="B675" s="378" t="s">
        <v>907</v>
      </c>
      <c r="C675" s="552"/>
      <c r="D675" s="552">
        <v>10000</v>
      </c>
      <c r="E675" s="552"/>
      <c r="F675" s="552"/>
      <c r="G675" s="378"/>
      <c r="H675" s="378"/>
    </row>
    <row r="676" spans="1:8" x14ac:dyDescent="0.25">
      <c r="A676" s="568" t="s">
        <v>889</v>
      </c>
      <c r="B676" s="583"/>
      <c r="C676" s="582"/>
      <c r="D676" s="582"/>
      <c r="E676" s="582"/>
      <c r="F676" s="569">
        <f>SUM(E650:E675)</f>
        <v>20803607</v>
      </c>
      <c r="G676" s="378"/>
      <c r="H676" s="378"/>
    </row>
    <row r="677" spans="1:8" x14ac:dyDescent="0.25">
      <c r="A677" s="583" t="s">
        <v>316</v>
      </c>
      <c r="B677" s="583" t="s">
        <v>1418</v>
      </c>
      <c r="C677" s="582"/>
      <c r="D677" s="582"/>
      <c r="E677" s="582">
        <f>SUM(D678)</f>
        <v>40469</v>
      </c>
      <c r="F677" s="582"/>
      <c r="G677" s="378"/>
      <c r="H677" s="378"/>
    </row>
    <row r="678" spans="1:8" x14ac:dyDescent="0.25">
      <c r="A678" s="583"/>
      <c r="B678" s="659" t="s">
        <v>1419</v>
      </c>
      <c r="C678" s="574"/>
      <c r="D678" s="660">
        <v>40469</v>
      </c>
      <c r="E678" s="582"/>
      <c r="F678" s="582"/>
      <c r="G678" s="378"/>
      <c r="H678" s="378"/>
    </row>
    <row r="679" spans="1:8" x14ac:dyDescent="0.25">
      <c r="A679" s="583" t="s">
        <v>322</v>
      </c>
      <c r="B679" s="583" t="s">
        <v>1420</v>
      </c>
      <c r="C679" s="582"/>
      <c r="D679" s="617"/>
      <c r="E679" s="582">
        <f>SUM(D680)</f>
        <v>10927</v>
      </c>
      <c r="F679" s="582"/>
      <c r="G679" s="378"/>
      <c r="H679" s="378"/>
    </row>
    <row r="680" spans="1:8" x14ac:dyDescent="0.25">
      <c r="A680" s="583"/>
      <c r="B680" s="659" t="s">
        <v>1419</v>
      </c>
      <c r="C680" s="574"/>
      <c r="D680" s="660">
        <v>10927</v>
      </c>
      <c r="E680" s="582"/>
      <c r="F680" s="582"/>
      <c r="G680" s="378"/>
      <c r="H680" s="378"/>
    </row>
    <row r="681" spans="1:8" ht="15.75" thickBot="1" x14ac:dyDescent="0.3">
      <c r="A681" s="568" t="s">
        <v>999</v>
      </c>
      <c r="B681" s="583"/>
      <c r="C681" s="582"/>
      <c r="D681" s="582"/>
      <c r="E681" s="582"/>
      <c r="F681" s="569">
        <f>SUM(E677:E679)</f>
        <v>51396</v>
      </c>
      <c r="G681" s="378"/>
      <c r="H681" s="378"/>
    </row>
    <row r="682" spans="1:8" ht="15.75" thickBot="1" x14ac:dyDescent="0.3">
      <c r="A682" s="725" t="s">
        <v>1342</v>
      </c>
      <c r="B682" s="725"/>
      <c r="C682" s="582"/>
      <c r="D682" s="582"/>
      <c r="E682" s="582"/>
      <c r="F682" s="593">
        <f>SUM(F639:F681)</f>
        <v>24555866.129999999</v>
      </c>
      <c r="G682" s="378"/>
      <c r="H682" s="378"/>
    </row>
    <row r="683" spans="1:8" x14ac:dyDescent="0.25">
      <c r="A683" s="378"/>
      <c r="B683" s="656" t="s">
        <v>1229</v>
      </c>
      <c r="C683" s="661">
        <f>SUM(D630+D631+C642+D666+D668+D678+D680)</f>
        <v>22331384</v>
      </c>
      <c r="D683" s="521"/>
      <c r="E683" s="521"/>
      <c r="F683" s="521"/>
      <c r="G683" s="378"/>
      <c r="H683" s="378"/>
    </row>
    <row r="684" spans="1:8" x14ac:dyDescent="0.25">
      <c r="A684" s="378"/>
      <c r="B684" s="567"/>
      <c r="C684" s="520"/>
      <c r="D684" s="521"/>
      <c r="E684" s="521"/>
      <c r="F684" s="521"/>
      <c r="G684" s="378"/>
      <c r="H684" s="378"/>
    </row>
    <row r="685" spans="1:8" x14ac:dyDescent="0.25">
      <c r="A685" s="522"/>
      <c r="B685" s="557"/>
      <c r="C685" s="566"/>
      <c r="D685" s="523"/>
      <c r="E685" s="523"/>
      <c r="F685" s="523"/>
      <c r="G685" s="378"/>
      <c r="H685" s="378"/>
    </row>
    <row r="686" spans="1:8" x14ac:dyDescent="0.25">
      <c r="A686" s="723" t="s">
        <v>1379</v>
      </c>
      <c r="B686" s="723"/>
      <c r="C686" s="723"/>
      <c r="D686" s="723"/>
      <c r="E686" s="723"/>
      <c r="F686" s="723"/>
      <c r="G686" s="378"/>
      <c r="H686" s="378"/>
    </row>
    <row r="687" spans="1:8" x14ac:dyDescent="0.25">
      <c r="A687" s="522"/>
      <c r="B687" s="557"/>
      <c r="C687" s="566"/>
      <c r="D687" s="523"/>
      <c r="E687" s="523"/>
      <c r="F687" s="523"/>
      <c r="G687" s="378"/>
      <c r="H687" s="378"/>
    </row>
    <row r="688" spans="1:8" x14ac:dyDescent="0.25">
      <c r="A688" s="527" t="s">
        <v>230</v>
      </c>
      <c r="B688" s="557" t="s">
        <v>180</v>
      </c>
      <c r="C688" s="566"/>
      <c r="D688" s="528">
        <v>0</v>
      </c>
      <c r="E688" s="523"/>
      <c r="F688" s="523"/>
      <c r="G688" s="378"/>
      <c r="H688" s="378"/>
    </row>
    <row r="689" spans="1:8" x14ac:dyDescent="0.25">
      <c r="A689" s="527" t="s">
        <v>247</v>
      </c>
      <c r="B689" s="557" t="s">
        <v>146</v>
      </c>
      <c r="C689" s="566"/>
      <c r="D689" s="528">
        <v>0</v>
      </c>
      <c r="E689" s="523"/>
      <c r="F689" s="523"/>
      <c r="G689" s="378"/>
      <c r="H689" s="378"/>
    </row>
    <row r="690" spans="1:8" x14ac:dyDescent="0.25">
      <c r="A690" s="527" t="s">
        <v>255</v>
      </c>
      <c r="B690" s="557" t="s">
        <v>1380</v>
      </c>
      <c r="C690" s="566"/>
      <c r="D690" s="528">
        <v>0</v>
      </c>
      <c r="E690" s="523"/>
      <c r="F690" s="523"/>
      <c r="G690" s="378"/>
      <c r="H690" s="378"/>
    </row>
    <row r="691" spans="1:8" ht="15.75" thickBot="1" x14ac:dyDescent="0.3">
      <c r="A691" s="614" t="s">
        <v>889</v>
      </c>
      <c r="B691" s="557"/>
      <c r="C691" s="566"/>
      <c r="D691" s="528"/>
      <c r="E691" s="523"/>
      <c r="F691" s="615">
        <f>SUM(D688:D690)</f>
        <v>0</v>
      </c>
      <c r="G691" s="378"/>
      <c r="H691" s="378"/>
    </row>
    <row r="692" spans="1:8" ht="15.75" thickBot="1" x14ac:dyDescent="0.3">
      <c r="A692" s="724" t="s">
        <v>1381</v>
      </c>
      <c r="B692" s="724"/>
      <c r="C692" s="566"/>
      <c r="D692" s="528"/>
      <c r="E692" s="523"/>
      <c r="F692" s="611">
        <f>SUM(F691)</f>
        <v>0</v>
      </c>
      <c r="G692" s="378"/>
      <c r="H692" s="378"/>
    </row>
    <row r="693" spans="1:8" x14ac:dyDescent="0.25">
      <c r="A693" s="527"/>
      <c r="B693" s="557"/>
      <c r="C693" s="566"/>
      <c r="D693" s="528"/>
      <c r="E693" s="523"/>
      <c r="F693" s="523"/>
      <c r="G693" s="378"/>
      <c r="H693" s="378"/>
    </row>
    <row r="694" spans="1:8" ht="15.75" thickBot="1" x14ac:dyDescent="0.3">
      <c r="A694" s="522"/>
      <c r="B694" s="522"/>
      <c r="C694" s="523"/>
      <c r="D694" s="523"/>
      <c r="E694" s="523"/>
      <c r="F694" s="523"/>
      <c r="G694" s="378"/>
      <c r="H694" s="378"/>
    </row>
    <row r="695" spans="1:8" ht="15.75" thickBot="1" x14ac:dyDescent="0.3">
      <c r="A695" s="726" t="s">
        <v>1043</v>
      </c>
      <c r="B695" s="727"/>
      <c r="C695" s="727"/>
      <c r="D695" s="727"/>
      <c r="E695" s="727"/>
      <c r="F695" s="728"/>
      <c r="G695" s="378"/>
      <c r="H695" s="378"/>
    </row>
    <row r="696" spans="1:8" x14ac:dyDescent="0.25">
      <c r="A696" s="527"/>
      <c r="B696" s="527"/>
      <c r="C696" s="529"/>
      <c r="D696" s="529"/>
      <c r="E696" s="529"/>
      <c r="F696" s="529"/>
      <c r="G696" s="378"/>
      <c r="H696" s="378"/>
    </row>
    <row r="697" spans="1:8" x14ac:dyDescent="0.25">
      <c r="A697" s="524" t="s">
        <v>306</v>
      </c>
      <c r="B697" s="524" t="s">
        <v>1044</v>
      </c>
      <c r="C697" s="526"/>
      <c r="D697" s="526">
        <f>SUM(C698:C702)</f>
        <v>1236000</v>
      </c>
      <c r="E697" s="528"/>
      <c r="F697" s="528"/>
      <c r="G697" s="378"/>
      <c r="H697" s="378"/>
    </row>
    <row r="698" spans="1:8" x14ac:dyDescent="0.25">
      <c r="A698" s="524"/>
      <c r="B698" s="527" t="s">
        <v>1045</v>
      </c>
      <c r="C698" s="528">
        <v>1000000</v>
      </c>
      <c r="D698" s="526"/>
      <c r="E698" s="528"/>
      <c r="F698" s="528"/>
      <c r="G698" s="378"/>
      <c r="H698" s="378"/>
    </row>
    <row r="699" spans="1:8" x14ac:dyDescent="0.25">
      <c r="A699" s="524"/>
      <c r="B699" s="527" t="s">
        <v>1046</v>
      </c>
      <c r="C699" s="528">
        <v>100000</v>
      </c>
      <c r="D699" s="526"/>
      <c r="E699" s="528"/>
      <c r="F699" s="528"/>
      <c r="G699" s="378"/>
      <c r="H699" s="378"/>
    </row>
    <row r="700" spans="1:8" x14ac:dyDescent="0.25">
      <c r="A700" s="524"/>
      <c r="B700" s="527" t="s">
        <v>1047</v>
      </c>
      <c r="C700" s="528">
        <v>123000</v>
      </c>
      <c r="D700" s="526"/>
      <c r="E700" s="528"/>
      <c r="F700" s="528"/>
      <c r="G700" s="378"/>
      <c r="H700" s="378"/>
    </row>
    <row r="701" spans="1:8" x14ac:dyDescent="0.25">
      <c r="A701" s="527"/>
      <c r="B701" s="527" t="s">
        <v>1048</v>
      </c>
      <c r="C701" s="528">
        <v>13000</v>
      </c>
      <c r="D701" s="528"/>
      <c r="E701" s="528"/>
      <c r="F701" s="528"/>
      <c r="G701" s="378"/>
      <c r="H701" s="378"/>
    </row>
    <row r="702" spans="1:8" x14ac:dyDescent="0.25">
      <c r="A702" s="527"/>
      <c r="B702" s="527" t="s">
        <v>161</v>
      </c>
      <c r="C702" s="528">
        <v>0</v>
      </c>
      <c r="D702" s="528"/>
      <c r="E702" s="528"/>
      <c r="F702" s="528"/>
      <c r="G702" s="378"/>
      <c r="H702" s="378"/>
    </row>
    <row r="703" spans="1:8" x14ac:dyDescent="0.25">
      <c r="A703" s="530" t="s">
        <v>986</v>
      </c>
      <c r="B703" s="530"/>
      <c r="C703" s="533"/>
      <c r="D703" s="533"/>
      <c r="E703" s="533"/>
      <c r="F703" s="533">
        <f>SUM(D697)</f>
        <v>1236000</v>
      </c>
      <c r="G703" s="378"/>
      <c r="H703" s="378"/>
    </row>
    <row r="704" spans="1:8" ht="15.75" thickBot="1" x14ac:dyDescent="0.3">
      <c r="A704" s="536" t="s">
        <v>890</v>
      </c>
      <c r="B704" s="536"/>
      <c r="C704" s="537"/>
      <c r="D704" s="537"/>
      <c r="E704" s="537"/>
      <c r="F704" s="537"/>
      <c r="G704" s="378"/>
      <c r="H704" s="378"/>
    </row>
    <row r="705" spans="1:8" ht="15.75" thickBot="1" x14ac:dyDescent="0.3">
      <c r="A705" s="540"/>
      <c r="B705" s="540"/>
      <c r="C705" s="555"/>
      <c r="D705" s="555"/>
      <c r="E705" s="555"/>
      <c r="F705" s="539">
        <f>SUM(F703)</f>
        <v>1236000</v>
      </c>
      <c r="G705" s="378"/>
      <c r="H705" s="378"/>
    </row>
    <row r="706" spans="1:8" x14ac:dyDescent="0.25">
      <c r="A706" s="540"/>
      <c r="B706" s="540"/>
      <c r="C706" s="561"/>
      <c r="D706" s="541"/>
      <c r="E706" s="541"/>
      <c r="F706" s="541"/>
      <c r="G706" s="378"/>
      <c r="H706" s="378"/>
    </row>
    <row r="707" spans="1:8" x14ac:dyDescent="0.25">
      <c r="A707" s="522"/>
      <c r="B707" s="522"/>
      <c r="C707" s="523"/>
      <c r="D707" s="523"/>
      <c r="E707" s="523"/>
      <c r="F707" s="523"/>
      <c r="G707" s="378"/>
      <c r="H707" s="378"/>
    </row>
    <row r="708" spans="1:8" x14ac:dyDescent="0.25">
      <c r="A708" s="730" t="s">
        <v>1049</v>
      </c>
      <c r="B708" s="730"/>
      <c r="C708" s="730"/>
      <c r="D708" s="730"/>
      <c r="E708" s="730"/>
      <c r="F708" s="730"/>
      <c r="G708" s="378"/>
      <c r="H708" s="378"/>
    </row>
    <row r="709" spans="1:8" x14ac:dyDescent="0.25">
      <c r="A709" s="522"/>
      <c r="B709" s="522"/>
      <c r="C709" s="523"/>
      <c r="D709" s="523"/>
      <c r="E709" s="523"/>
      <c r="F709" s="523"/>
      <c r="G709" s="378"/>
      <c r="H709" s="378"/>
    </row>
    <row r="710" spans="1:8" x14ac:dyDescent="0.25">
      <c r="A710" s="524" t="s">
        <v>306</v>
      </c>
      <c r="B710" s="524" t="s">
        <v>1050</v>
      </c>
      <c r="C710" s="526"/>
      <c r="D710" s="526"/>
      <c r="E710" s="325">
        <f>SUM(D711:D712)</f>
        <v>10240000</v>
      </c>
      <c r="F710" s="528"/>
      <c r="G710" s="378"/>
      <c r="H710" s="378"/>
    </row>
    <row r="711" spans="1:8" x14ac:dyDescent="0.25">
      <c r="A711" s="527"/>
      <c r="B711" s="527" t="s">
        <v>1051</v>
      </c>
      <c r="C711" s="528">
        <v>720000</v>
      </c>
      <c r="D711" s="528">
        <f>SUM(C711*12)</f>
        <v>8640000</v>
      </c>
      <c r="E711" s="528"/>
      <c r="F711" s="528"/>
      <c r="G711" s="378"/>
      <c r="H711" s="378"/>
    </row>
    <row r="712" spans="1:8" x14ac:dyDescent="0.25">
      <c r="A712" s="527"/>
      <c r="B712" s="527" t="s">
        <v>1377</v>
      </c>
      <c r="C712" s="528">
        <v>400000</v>
      </c>
      <c r="D712" s="528">
        <f>SUM(C712*4)</f>
        <v>1600000</v>
      </c>
      <c r="E712" s="528"/>
      <c r="F712" s="528"/>
      <c r="G712" s="378"/>
      <c r="H712" s="378"/>
    </row>
    <row r="713" spans="1:8" x14ac:dyDescent="0.25">
      <c r="A713" s="527"/>
      <c r="B713" s="527"/>
      <c r="C713" s="528"/>
      <c r="D713" s="528"/>
      <c r="E713" s="528"/>
      <c r="F713" s="528"/>
      <c r="G713" s="378"/>
      <c r="H713" s="378"/>
    </row>
    <row r="714" spans="1:8" ht="15.75" thickBot="1" x14ac:dyDescent="0.3">
      <c r="A714" s="530" t="s">
        <v>986</v>
      </c>
      <c r="B714" s="535"/>
      <c r="C714" s="544"/>
      <c r="D714" s="544"/>
      <c r="E714" s="544"/>
      <c r="F714" s="533">
        <f>SUM(E710)</f>
        <v>10240000</v>
      </c>
      <c r="G714" s="378"/>
      <c r="H714" s="378"/>
    </row>
    <row r="715" spans="1:8" ht="15.75" thickBot="1" x14ac:dyDescent="0.3">
      <c r="A715" s="734" t="s">
        <v>1342</v>
      </c>
      <c r="B715" s="734"/>
      <c r="C715" s="555"/>
      <c r="D715" s="555"/>
      <c r="E715" s="555"/>
      <c r="F715" s="539">
        <f>SUM(F714)</f>
        <v>10240000</v>
      </c>
      <c r="G715" s="378"/>
      <c r="H715" s="378"/>
    </row>
    <row r="716" spans="1:8" x14ac:dyDescent="0.25">
      <c r="A716" s="605"/>
      <c r="B716" s="605"/>
      <c r="C716" s="555"/>
      <c r="D716" s="555"/>
      <c r="E716" s="555"/>
      <c r="F716" s="543"/>
      <c r="G716" s="378"/>
      <c r="H716" s="378"/>
    </row>
    <row r="717" spans="1:8" x14ac:dyDescent="0.25">
      <c r="A717" s="540"/>
      <c r="B717" s="540"/>
      <c r="C717" s="541"/>
      <c r="D717" s="541"/>
      <c r="E717" s="541"/>
      <c r="F717" s="541"/>
      <c r="G717" s="378"/>
      <c r="H717" s="378"/>
    </row>
    <row r="718" spans="1:8" x14ac:dyDescent="0.25">
      <c r="A718" s="735" t="s">
        <v>1378</v>
      </c>
      <c r="B718" s="735"/>
      <c r="C718" s="735"/>
      <c r="D718" s="735"/>
      <c r="E718" s="735"/>
      <c r="F718" s="735"/>
      <c r="G718" s="378"/>
      <c r="H718" s="378"/>
    </row>
    <row r="719" spans="1:8" x14ac:dyDescent="0.25">
      <c r="A719" s="583"/>
      <c r="B719" s="583"/>
      <c r="C719" s="584"/>
      <c r="D719" s="584"/>
      <c r="E719" s="584"/>
      <c r="F719" s="584"/>
      <c r="G719" s="378"/>
      <c r="H719" s="378"/>
    </row>
    <row r="720" spans="1:8" x14ac:dyDescent="0.25">
      <c r="A720" s="583" t="s">
        <v>241</v>
      </c>
      <c r="B720" s="583" t="s">
        <v>1382</v>
      </c>
      <c r="C720" s="584"/>
      <c r="D720" s="584"/>
      <c r="E720" s="582">
        <f>SUM(D721)</f>
        <v>1680000</v>
      </c>
      <c r="F720" s="584"/>
      <c r="G720" s="378"/>
      <c r="H720" s="378"/>
    </row>
    <row r="721" spans="1:8" x14ac:dyDescent="0.25">
      <c r="A721" s="583"/>
      <c r="B721" s="583"/>
      <c r="C721" s="617">
        <v>140000</v>
      </c>
      <c r="D721" s="617">
        <f>SUM(C721*12)</f>
        <v>1680000</v>
      </c>
      <c r="E721" s="584"/>
      <c r="F721" s="584"/>
      <c r="G721" s="378"/>
      <c r="H721" s="378"/>
    </row>
    <row r="722" spans="1:8" x14ac:dyDescent="0.25">
      <c r="A722" s="583" t="s">
        <v>255</v>
      </c>
      <c r="B722" s="583" t="s">
        <v>1383</v>
      </c>
      <c r="C722" s="584"/>
      <c r="D722" s="584"/>
      <c r="E722" s="582">
        <f>SUM(D723)</f>
        <v>455000</v>
      </c>
      <c r="F722" s="584"/>
      <c r="G722" s="378"/>
      <c r="H722" s="378"/>
    </row>
    <row r="723" spans="1:8" x14ac:dyDescent="0.25">
      <c r="A723" s="583"/>
      <c r="B723" s="583"/>
      <c r="C723" s="584"/>
      <c r="D723" s="617">
        <v>455000</v>
      </c>
      <c r="E723" s="584"/>
      <c r="F723" s="584"/>
      <c r="G723" s="378"/>
      <c r="H723" s="378"/>
    </row>
    <row r="724" spans="1:8" x14ac:dyDescent="0.25">
      <c r="A724" s="568" t="s">
        <v>889</v>
      </c>
      <c r="B724" s="583"/>
      <c r="C724" s="584"/>
      <c r="D724" s="617"/>
      <c r="E724" s="584"/>
      <c r="F724" s="569">
        <f>SUM(E720:E722)</f>
        <v>2135000</v>
      </c>
      <c r="G724" s="378"/>
      <c r="H724" s="378"/>
    </row>
    <row r="725" spans="1:8" x14ac:dyDescent="0.25">
      <c r="A725" s="725" t="s">
        <v>1342</v>
      </c>
      <c r="B725" s="725"/>
      <c r="C725" s="584"/>
      <c r="D725" s="617"/>
      <c r="E725" s="584"/>
      <c r="F725" s="577">
        <f>SUM(F724)</f>
        <v>2135000</v>
      </c>
      <c r="G725" s="378"/>
      <c r="H725" s="378"/>
    </row>
    <row r="726" spans="1:8" x14ac:dyDescent="0.25">
      <c r="A726" s="583"/>
      <c r="B726" s="583"/>
      <c r="C726" s="584"/>
      <c r="D726" s="617"/>
      <c r="E726" s="584"/>
      <c r="F726" s="584"/>
      <c r="G726" s="378"/>
      <c r="H726" s="378"/>
    </row>
    <row r="727" spans="1:8" ht="15.75" thickBot="1" x14ac:dyDescent="0.3">
      <c r="A727" s="583"/>
      <c r="B727" s="583"/>
      <c r="C727" s="584"/>
      <c r="D727" s="584"/>
      <c r="E727" s="584"/>
      <c r="F727" s="584"/>
      <c r="G727" s="378"/>
      <c r="H727" s="378"/>
    </row>
    <row r="728" spans="1:8" ht="15.75" thickBot="1" x14ac:dyDescent="0.3">
      <c r="A728" s="726" t="s">
        <v>1052</v>
      </c>
      <c r="B728" s="727"/>
      <c r="C728" s="727"/>
      <c r="D728" s="727"/>
      <c r="E728" s="727"/>
      <c r="F728" s="728"/>
      <c r="G728" s="378"/>
      <c r="H728" s="378"/>
    </row>
    <row r="729" spans="1:8" x14ac:dyDescent="0.25">
      <c r="A729" s="527"/>
      <c r="B729" s="527"/>
      <c r="C729" s="528"/>
      <c r="D729" s="528"/>
      <c r="E729" s="528"/>
      <c r="F729" s="528"/>
      <c r="G729" s="378"/>
      <c r="H729" s="378"/>
    </row>
    <row r="730" spans="1:8" x14ac:dyDescent="0.25">
      <c r="A730" s="524" t="s">
        <v>1053</v>
      </c>
      <c r="B730" s="524" t="s">
        <v>1054</v>
      </c>
      <c r="C730" s="526"/>
      <c r="D730" s="526">
        <f>SUM(C731)</f>
        <v>405000</v>
      </c>
      <c r="E730" s="545"/>
      <c r="F730" s="528"/>
      <c r="G730" s="378"/>
      <c r="H730" s="378"/>
    </row>
    <row r="731" spans="1:8" x14ac:dyDescent="0.25">
      <c r="A731" s="527"/>
      <c r="B731" s="527" t="s">
        <v>1061</v>
      </c>
      <c r="C731" s="528">
        <v>405000</v>
      </c>
      <c r="D731" s="528"/>
      <c r="E731" s="545"/>
      <c r="F731" s="528"/>
      <c r="G731" s="378"/>
      <c r="H731" s="378"/>
    </row>
    <row r="732" spans="1:8" x14ac:dyDescent="0.25">
      <c r="A732" s="524" t="s">
        <v>1055</v>
      </c>
      <c r="B732" s="524" t="s">
        <v>182</v>
      </c>
      <c r="C732" s="526"/>
      <c r="D732" s="526">
        <f>SUM(C733)</f>
        <v>450000</v>
      </c>
      <c r="E732" s="545"/>
      <c r="F732" s="528"/>
      <c r="G732" s="378"/>
      <c r="H732" s="378"/>
    </row>
    <row r="733" spans="1:8" x14ac:dyDescent="0.25">
      <c r="A733" s="527"/>
      <c r="B733" s="527"/>
      <c r="C733" s="528">
        <v>450000</v>
      </c>
      <c r="D733" s="528"/>
      <c r="E733" s="545"/>
      <c r="F733" s="528"/>
      <c r="G733" s="378"/>
      <c r="H733" s="378"/>
    </row>
    <row r="734" spans="1:8" x14ac:dyDescent="0.25">
      <c r="A734" s="524" t="s">
        <v>1056</v>
      </c>
      <c r="B734" s="524" t="s">
        <v>1057</v>
      </c>
      <c r="C734" s="526"/>
      <c r="D734" s="526">
        <f>SUM(C735)</f>
        <v>400000</v>
      </c>
      <c r="E734" s="545"/>
      <c r="F734" s="528"/>
      <c r="G734" s="378"/>
      <c r="H734" s="378"/>
    </row>
    <row r="735" spans="1:8" x14ac:dyDescent="0.25">
      <c r="A735" s="527"/>
      <c r="B735" s="527" t="s">
        <v>1058</v>
      </c>
      <c r="C735" s="528">
        <v>400000</v>
      </c>
      <c r="D735" s="528"/>
      <c r="E735" s="545"/>
      <c r="F735" s="528"/>
      <c r="G735" s="378"/>
      <c r="H735" s="378"/>
    </row>
    <row r="736" spans="1:8" x14ac:dyDescent="0.25">
      <c r="A736" s="524" t="s">
        <v>1059</v>
      </c>
      <c r="B736" s="524" t="s">
        <v>1060</v>
      </c>
      <c r="C736" s="526"/>
      <c r="D736" s="526">
        <f>SUM(C737:C739)</f>
        <v>1100000</v>
      </c>
      <c r="E736" s="545"/>
      <c r="F736" s="528"/>
      <c r="G736" s="378"/>
      <c r="H736" s="378"/>
    </row>
    <row r="737" spans="1:8" x14ac:dyDescent="0.25">
      <c r="A737" s="527"/>
      <c r="B737" s="527" t="s">
        <v>1257</v>
      </c>
      <c r="C737" s="528">
        <v>100000</v>
      </c>
      <c r="D737" s="528"/>
      <c r="E737" s="545"/>
      <c r="F737" s="528"/>
      <c r="G737" s="378"/>
      <c r="H737" s="378"/>
    </row>
    <row r="738" spans="1:8" x14ac:dyDescent="0.25">
      <c r="A738" s="527"/>
      <c r="B738" s="527" t="s">
        <v>1062</v>
      </c>
      <c r="C738" s="528">
        <v>1000000</v>
      </c>
      <c r="D738" s="528"/>
      <c r="E738" s="545"/>
      <c r="F738" s="528"/>
      <c r="G738" s="378"/>
      <c r="H738" s="378"/>
    </row>
    <row r="739" spans="1:8" x14ac:dyDescent="0.25">
      <c r="A739" s="527"/>
      <c r="B739" s="527" t="s">
        <v>1063</v>
      </c>
      <c r="C739" s="528">
        <v>0</v>
      </c>
      <c r="D739" s="528"/>
      <c r="E739" s="545"/>
      <c r="F739" s="528"/>
      <c r="G739" s="378"/>
      <c r="H739" s="378"/>
    </row>
    <row r="740" spans="1:8" x14ac:dyDescent="0.25">
      <c r="A740" s="527"/>
      <c r="B740" s="527"/>
      <c r="C740" s="528"/>
      <c r="D740" s="528"/>
      <c r="E740" s="528"/>
      <c r="F740" s="528"/>
      <c r="G740" s="378"/>
      <c r="H740" s="378"/>
    </row>
    <row r="741" spans="1:8" x14ac:dyDescent="0.25">
      <c r="A741" s="530" t="s">
        <v>986</v>
      </c>
      <c r="B741" s="530"/>
      <c r="C741" s="533"/>
      <c r="D741" s="533"/>
      <c r="E741" s="533"/>
      <c r="F741" s="533">
        <f>SUM(D730:D739)</f>
        <v>2355000</v>
      </c>
      <c r="G741" s="378"/>
      <c r="H741" s="378"/>
    </row>
    <row r="742" spans="1:8" ht="15.75" thickBot="1" x14ac:dyDescent="0.3">
      <c r="A742" s="536" t="s">
        <v>890</v>
      </c>
      <c r="B742" s="536"/>
      <c r="C742" s="537"/>
      <c r="D742" s="537"/>
      <c r="E742" s="537"/>
      <c r="F742" s="537"/>
      <c r="G742" s="378"/>
      <c r="H742" s="378"/>
    </row>
    <row r="743" spans="1:8" ht="15.75" thickBot="1" x14ac:dyDescent="0.3">
      <c r="A743" s="522"/>
      <c r="B743" s="522"/>
      <c r="C743" s="542"/>
      <c r="D743" s="542"/>
      <c r="E743" s="542"/>
      <c r="F743" s="539">
        <f>SUM(F741)</f>
        <v>2355000</v>
      </c>
      <c r="G743" s="378"/>
      <c r="H743" s="378"/>
    </row>
    <row r="744" spans="1:8" x14ac:dyDescent="0.25">
      <c r="A744" s="522"/>
      <c r="B744" s="522"/>
      <c r="C744" s="542"/>
      <c r="D744" s="542"/>
      <c r="E744" s="542"/>
      <c r="F744" s="542"/>
      <c r="G744" s="378"/>
      <c r="H744" s="378"/>
    </row>
    <row r="745" spans="1:8" x14ac:dyDescent="0.25">
      <c r="A745" s="378"/>
      <c r="B745" s="378" t="s">
        <v>193</v>
      </c>
      <c r="C745" s="378" t="s">
        <v>1216</v>
      </c>
      <c r="D745" s="552">
        <f>SUM(F762+F764)</f>
        <v>75265980.150000006</v>
      </c>
      <c r="E745" s="562">
        <f>SUM(F762+F764)</f>
        <v>75265980.150000006</v>
      </c>
      <c r="F745" s="378"/>
      <c r="G745" s="378"/>
      <c r="H745" s="378"/>
    </row>
    <row r="746" spans="1:8" x14ac:dyDescent="0.25">
      <c r="A746" s="378"/>
      <c r="B746" s="378"/>
      <c r="C746" s="378" t="s">
        <v>1217</v>
      </c>
      <c r="D746" s="552">
        <f>SUM(F782+F784+F790+F794+F798+F801)</f>
        <v>460948035.60000002</v>
      </c>
      <c r="E746" s="562">
        <f>SUM(F782+F784+F790+F794+F798+F801)</f>
        <v>460948035.60000002</v>
      </c>
      <c r="F746" s="378"/>
      <c r="G746" s="378"/>
      <c r="H746" s="378"/>
    </row>
    <row r="747" spans="1:8" x14ac:dyDescent="0.25">
      <c r="A747" s="378"/>
      <c r="B747" s="378"/>
      <c r="C747" s="378"/>
      <c r="D747" s="552">
        <f>SUM(D745:D746)</f>
        <v>536214015.75</v>
      </c>
      <c r="E747" s="562">
        <f>SUM(E745:E746)</f>
        <v>536214015.75</v>
      </c>
      <c r="F747" s="378"/>
      <c r="G747" s="378"/>
      <c r="H747" s="378"/>
    </row>
    <row r="748" spans="1:8" x14ac:dyDescent="0.25">
      <c r="A748" s="378"/>
      <c r="B748" s="378"/>
      <c r="C748" s="378"/>
      <c r="D748" s="378"/>
      <c r="E748" s="378"/>
      <c r="F748" s="552"/>
      <c r="G748" s="378"/>
      <c r="H748" s="378"/>
    </row>
    <row r="749" spans="1:8" x14ac:dyDescent="0.25">
      <c r="A749" s="378"/>
      <c r="B749" s="552"/>
      <c r="C749" s="378"/>
      <c r="D749" s="378"/>
      <c r="E749" s="378"/>
      <c r="F749" s="378"/>
      <c r="G749" s="378"/>
      <c r="H749" s="378"/>
    </row>
    <row r="750" spans="1:8" x14ac:dyDescent="0.25">
      <c r="A750" s="729" t="s">
        <v>814</v>
      </c>
      <c r="B750" s="729"/>
      <c r="C750" s="729"/>
      <c r="D750" s="729"/>
      <c r="E750" s="729"/>
      <c r="F750" s="729"/>
      <c r="G750" s="378"/>
      <c r="H750" s="378"/>
    </row>
    <row r="751" spans="1:8" x14ac:dyDescent="0.25">
      <c r="A751" s="563"/>
      <c r="B751" s="563"/>
      <c r="C751" s="563"/>
      <c r="D751" s="563"/>
      <c r="E751" s="563"/>
      <c r="F751" s="563"/>
      <c r="G751" s="378"/>
      <c r="H751" s="378"/>
    </row>
    <row r="752" spans="1:8" ht="25.5" x14ac:dyDescent="0.25">
      <c r="A752" s="564" t="s">
        <v>195</v>
      </c>
      <c r="B752" s="563" t="s">
        <v>1226</v>
      </c>
      <c r="C752" s="563"/>
      <c r="D752" s="563"/>
      <c r="E752" s="565">
        <f>SUM(E214+E322+E355+E431+E496+E585+E629)</f>
        <v>46835002</v>
      </c>
      <c r="F752" s="563"/>
      <c r="G752" s="378"/>
      <c r="H752" s="378"/>
    </row>
    <row r="753" spans="1:8" ht="25.5" x14ac:dyDescent="0.25">
      <c r="A753" s="564" t="s">
        <v>197</v>
      </c>
      <c r="B753" s="563" t="s">
        <v>23</v>
      </c>
      <c r="C753" s="563"/>
      <c r="D753" s="563"/>
      <c r="E753" s="565">
        <f>SUM(E358+E436+E499+E588)</f>
        <v>300000</v>
      </c>
      <c r="F753" s="563"/>
      <c r="G753" s="378"/>
      <c r="H753" s="378"/>
    </row>
    <row r="754" spans="1:8" ht="25.5" x14ac:dyDescent="0.25">
      <c r="A754" s="564" t="s">
        <v>204</v>
      </c>
      <c r="B754" s="563" t="s">
        <v>16</v>
      </c>
      <c r="C754" s="563"/>
      <c r="D754" s="563"/>
      <c r="E754" s="565">
        <f>SUM(E360+E438+E501)</f>
        <v>0</v>
      </c>
      <c r="F754" s="563"/>
      <c r="G754" s="378"/>
      <c r="H754" s="378"/>
    </row>
    <row r="755" spans="1:8" ht="25.5" x14ac:dyDescent="0.25">
      <c r="A755" s="564" t="s">
        <v>206</v>
      </c>
      <c r="B755" s="563" t="s">
        <v>205</v>
      </c>
      <c r="C755" s="563"/>
      <c r="D755" s="563"/>
      <c r="E755" s="565">
        <f>SUM(E362+E440+E503+E590)</f>
        <v>420000</v>
      </c>
      <c r="F755" s="563"/>
      <c r="G755" s="378"/>
      <c r="H755" s="378"/>
    </row>
    <row r="756" spans="1:8" ht="25.5" x14ac:dyDescent="0.25">
      <c r="A756" s="564" t="s">
        <v>208</v>
      </c>
      <c r="B756" s="563" t="s">
        <v>34</v>
      </c>
      <c r="C756" s="563"/>
      <c r="D756" s="563"/>
      <c r="E756" s="565">
        <f>SUM(E443+E505)</f>
        <v>241320</v>
      </c>
      <c r="F756" s="563"/>
      <c r="G756" s="378"/>
      <c r="H756" s="378"/>
    </row>
    <row r="757" spans="1:8" ht="25.5" x14ac:dyDescent="0.25">
      <c r="A757" s="564" t="s">
        <v>210</v>
      </c>
      <c r="B757" s="563" t="s">
        <v>878</v>
      </c>
      <c r="C757" s="563"/>
      <c r="D757" s="563"/>
      <c r="E757" s="565">
        <f>SUM(E364+E445+E507+E592)</f>
        <v>0</v>
      </c>
      <c r="F757" s="563"/>
      <c r="G757" s="378"/>
      <c r="H757" s="378"/>
    </row>
    <row r="758" spans="1:8" ht="25.5" x14ac:dyDescent="0.25">
      <c r="A758" s="564" t="s">
        <v>216</v>
      </c>
      <c r="B758" s="563"/>
      <c r="C758" s="563"/>
      <c r="D758" s="563"/>
      <c r="E758" s="565">
        <f>SUM(E255+E447+E509+E633)</f>
        <v>3840000</v>
      </c>
      <c r="F758" s="563"/>
      <c r="G758" s="378"/>
      <c r="H758" s="378"/>
    </row>
    <row r="759" spans="1:8" x14ac:dyDescent="0.25">
      <c r="A759" s="527" t="s">
        <v>219</v>
      </c>
      <c r="B759" s="527" t="s">
        <v>924</v>
      </c>
      <c r="C759" s="529"/>
      <c r="D759" s="529"/>
      <c r="E759" s="528">
        <f>SUM(E6)</f>
        <v>11568712</v>
      </c>
      <c r="F759" s="523"/>
      <c r="G759" s="378"/>
      <c r="H759" s="378"/>
    </row>
    <row r="760" spans="1:8" x14ac:dyDescent="0.25">
      <c r="A760" s="527" t="s">
        <v>221</v>
      </c>
      <c r="B760" s="527" t="s">
        <v>1416</v>
      </c>
      <c r="C760" s="529"/>
      <c r="D760" s="529"/>
      <c r="E760" s="528">
        <f>SUM(E635+E294)</f>
        <v>2686145</v>
      </c>
      <c r="F760" s="523"/>
      <c r="G760" s="378"/>
      <c r="H760" s="378"/>
    </row>
    <row r="761" spans="1:8" x14ac:dyDescent="0.25">
      <c r="A761" s="527" t="s">
        <v>222</v>
      </c>
      <c r="B761" s="527" t="s">
        <v>181</v>
      </c>
      <c r="C761" s="529"/>
      <c r="D761" s="528"/>
      <c r="E761" s="528">
        <f>SUM(E22+E155+E450+E637)</f>
        <v>130000</v>
      </c>
      <c r="F761" s="529"/>
      <c r="G761" s="378"/>
      <c r="H761" s="378"/>
    </row>
    <row r="762" spans="1:8" x14ac:dyDescent="0.25">
      <c r="A762" s="530" t="s">
        <v>879</v>
      </c>
      <c r="B762" s="530"/>
      <c r="C762" s="531"/>
      <c r="D762" s="531"/>
      <c r="E762" s="531"/>
      <c r="F762" s="532">
        <f>SUM(E752:E761)</f>
        <v>66021179</v>
      </c>
      <c r="G762" s="378"/>
      <c r="H762" s="378"/>
    </row>
    <row r="763" spans="1:8" x14ac:dyDescent="0.25">
      <c r="A763" s="527" t="s">
        <v>228</v>
      </c>
      <c r="B763" s="527" t="s">
        <v>880</v>
      </c>
      <c r="C763" s="529"/>
      <c r="D763" s="529"/>
      <c r="E763" s="528">
        <f>SUM(F36+F161+F222+F337+F375+F460+F519+F602+F649+F299)</f>
        <v>9244801.1500000004</v>
      </c>
      <c r="F763" s="529"/>
      <c r="G763" s="378"/>
      <c r="H763" s="378"/>
    </row>
    <row r="764" spans="1:8" x14ac:dyDescent="0.25">
      <c r="A764" s="530" t="s">
        <v>885</v>
      </c>
      <c r="B764" s="530"/>
      <c r="C764" s="531"/>
      <c r="D764" s="531"/>
      <c r="E764" s="531"/>
      <c r="F764" s="533">
        <f>SUM(E763:E763)</f>
        <v>9244801.1500000004</v>
      </c>
      <c r="G764" s="378"/>
      <c r="H764" s="378"/>
    </row>
    <row r="765" spans="1:8" s="314" customFormat="1" x14ac:dyDescent="0.25">
      <c r="A765" s="557" t="s">
        <v>229</v>
      </c>
      <c r="B765" s="557" t="s">
        <v>157</v>
      </c>
      <c r="C765" s="566"/>
      <c r="D765" s="566"/>
      <c r="E765" s="556">
        <f>SUM(E461+E520+E576+E603)</f>
        <v>830000</v>
      </c>
      <c r="F765" s="544"/>
      <c r="G765" s="567"/>
      <c r="H765" s="567"/>
    </row>
    <row r="766" spans="1:8" x14ac:dyDescent="0.25">
      <c r="A766" s="527" t="s">
        <v>230</v>
      </c>
      <c r="B766" s="527" t="s">
        <v>891</v>
      </c>
      <c r="C766" s="529"/>
      <c r="D766" s="529"/>
      <c r="E766" s="528">
        <f>SUM(E37+E89+E102+E162+E223+E235+E259+E274+E338+E376+E463+E522+E557+E605+E650+D688)</f>
        <v>2770000</v>
      </c>
      <c r="F766" s="523"/>
      <c r="G766" s="378"/>
      <c r="H766" s="378"/>
    </row>
    <row r="767" spans="1:8" x14ac:dyDescent="0.25">
      <c r="A767" s="527" t="s">
        <v>235</v>
      </c>
      <c r="B767" s="527" t="s">
        <v>894</v>
      </c>
      <c r="C767" s="529"/>
      <c r="D767" s="528"/>
      <c r="E767" s="528">
        <f>SUM(E41+E468+E527+E608+E654)</f>
        <v>733800</v>
      </c>
      <c r="F767" s="523"/>
      <c r="G767" s="378"/>
      <c r="H767" s="378"/>
    </row>
    <row r="768" spans="1:8" x14ac:dyDescent="0.25">
      <c r="A768" s="527" t="s">
        <v>237</v>
      </c>
      <c r="B768" s="527" t="s">
        <v>1227</v>
      </c>
      <c r="C768" s="528"/>
      <c r="D768" s="528"/>
      <c r="E768" s="528">
        <f>SUM(E48+E470+E529+E610+E656)</f>
        <v>511000</v>
      </c>
      <c r="F768" s="523"/>
      <c r="G768" s="378"/>
      <c r="H768" s="378"/>
    </row>
    <row r="769" spans="1:8" x14ac:dyDescent="0.25">
      <c r="A769" s="527" t="s">
        <v>240</v>
      </c>
      <c r="B769" s="527" t="s">
        <v>158</v>
      </c>
      <c r="C769" s="528"/>
      <c r="D769" s="528"/>
      <c r="E769" s="528">
        <f>SUM(E50+E92+E104+E310+E341+E379+E472+E531+E566+E612+E658)</f>
        <v>8498600</v>
      </c>
      <c r="F769" s="523"/>
      <c r="G769" s="378"/>
      <c r="H769" s="378"/>
    </row>
    <row r="770" spans="1:8" x14ac:dyDescent="0.25">
      <c r="A770" s="527" t="s">
        <v>241</v>
      </c>
      <c r="B770" s="527" t="s">
        <v>145</v>
      </c>
      <c r="C770" s="528"/>
      <c r="D770" s="528"/>
      <c r="E770" s="528">
        <f>SUM(E720)</f>
        <v>1680000</v>
      </c>
      <c r="F770" s="523"/>
      <c r="G770" s="378"/>
      <c r="H770" s="378"/>
    </row>
    <row r="771" spans="1:8" x14ac:dyDescent="0.25">
      <c r="A771" s="527" t="s">
        <v>242</v>
      </c>
      <c r="B771" s="527" t="s">
        <v>901</v>
      </c>
      <c r="C771" s="528"/>
      <c r="D771" s="528"/>
      <c r="E771" s="528">
        <f>SUM(E118+E261+E276+E402+E476+E535)</f>
        <v>84000</v>
      </c>
      <c r="F771" s="523"/>
      <c r="G771" s="378"/>
      <c r="H771" s="378"/>
    </row>
    <row r="772" spans="1:8" x14ac:dyDescent="0.25">
      <c r="A772" s="527" t="s">
        <v>243</v>
      </c>
      <c r="B772" s="527" t="s">
        <v>132</v>
      </c>
      <c r="C772" s="528"/>
      <c r="D772" s="528"/>
      <c r="E772" s="528">
        <f>SUM(E54+E120+E237+E263+E278+E313+E344+E384+E404+E478+E537+E662)</f>
        <v>1815500</v>
      </c>
      <c r="F772" s="523"/>
      <c r="G772" s="378"/>
      <c r="H772" s="378"/>
    </row>
    <row r="773" spans="1:8" x14ac:dyDescent="0.25">
      <c r="A773" s="527" t="s">
        <v>244</v>
      </c>
      <c r="B773" s="527" t="s">
        <v>919</v>
      </c>
      <c r="C773" s="528"/>
      <c r="D773" s="528"/>
      <c r="E773" s="528">
        <f>SUM(E58+E123+E406)</f>
        <v>3060000</v>
      </c>
      <c r="F773" s="523"/>
      <c r="G773" s="378"/>
      <c r="H773" s="378"/>
    </row>
    <row r="774" spans="1:8" x14ac:dyDescent="0.25">
      <c r="A774" s="527" t="s">
        <v>246</v>
      </c>
      <c r="B774" s="527" t="s">
        <v>887</v>
      </c>
      <c r="C774" s="528"/>
      <c r="D774" s="528"/>
      <c r="E774" s="528">
        <f>SUM(E61+E665)</f>
        <v>3810000</v>
      </c>
      <c r="F774" s="534"/>
      <c r="G774" s="378"/>
      <c r="H774" s="378"/>
    </row>
    <row r="775" spans="1:8" x14ac:dyDescent="0.25">
      <c r="A775" s="527" t="s">
        <v>247</v>
      </c>
      <c r="B775" s="527" t="s">
        <v>146</v>
      </c>
      <c r="C775" s="528"/>
      <c r="D775" s="528"/>
      <c r="E775" s="528">
        <f>SUM(E65+E136+E164+E224+E239+E265+E280+E346+E386+E413+E422+E481+E540+E577+E616+E667+D689)</f>
        <v>25574655</v>
      </c>
      <c r="F775" s="523"/>
      <c r="G775" s="378"/>
      <c r="H775" s="378"/>
    </row>
    <row r="776" spans="1:8" x14ac:dyDescent="0.25">
      <c r="A776" s="527" t="s">
        <v>250</v>
      </c>
      <c r="B776" s="527" t="s">
        <v>1225</v>
      </c>
      <c r="C776" s="528"/>
      <c r="D776" s="528"/>
      <c r="E776" s="528">
        <f>SUM(E546+E621)</f>
        <v>10000</v>
      </c>
      <c r="F776" s="523"/>
      <c r="G776" s="378"/>
      <c r="H776" s="378"/>
    </row>
    <row r="777" spans="1:8" x14ac:dyDescent="0.25">
      <c r="A777" s="527" t="s">
        <v>252</v>
      </c>
      <c r="B777" s="527" t="s">
        <v>1228</v>
      </c>
      <c r="C777" s="528"/>
      <c r="D777" s="528"/>
      <c r="E777" s="528">
        <f>SUM(E77+E166)</f>
        <v>15000</v>
      </c>
      <c r="F777" s="523"/>
      <c r="G777" s="378"/>
      <c r="H777" s="378"/>
    </row>
    <row r="778" spans="1:8" x14ac:dyDescent="0.25">
      <c r="A778" s="527" t="s">
        <v>255</v>
      </c>
      <c r="B778" s="527" t="s">
        <v>888</v>
      </c>
      <c r="C778" s="529"/>
      <c r="D778" s="528"/>
      <c r="E778" s="528">
        <f>SUM(E78+E95+E138+E168+E226+E241+E267+E282+E315+E348+E393+E415+E487+E548+E559+E569+E578+E622+E673+D690+E722)</f>
        <v>6364515</v>
      </c>
      <c r="F778" s="523"/>
      <c r="G778" s="378"/>
      <c r="H778" s="378"/>
    </row>
    <row r="779" spans="1:8" x14ac:dyDescent="0.25">
      <c r="A779" s="527" t="s">
        <v>257</v>
      </c>
      <c r="B779" s="527" t="s">
        <v>1221</v>
      </c>
      <c r="C779" s="529"/>
      <c r="D779" s="528"/>
      <c r="E779" s="528">
        <f>SUM(E79)</f>
        <v>1212000</v>
      </c>
      <c r="F779" s="523"/>
      <c r="G779" s="378"/>
      <c r="H779" s="378"/>
    </row>
    <row r="780" spans="1:8" x14ac:dyDescent="0.25">
      <c r="A780" s="527" t="s">
        <v>259</v>
      </c>
      <c r="B780" s="527" t="s">
        <v>954</v>
      </c>
      <c r="C780" s="529"/>
      <c r="D780" s="528"/>
      <c r="E780" s="528">
        <f>SUM(E80)</f>
        <v>100000</v>
      </c>
      <c r="F780" s="523"/>
      <c r="G780" s="378"/>
      <c r="H780" s="378"/>
    </row>
    <row r="781" spans="1:8" x14ac:dyDescent="0.25">
      <c r="A781" s="527" t="s">
        <v>262</v>
      </c>
      <c r="B781" s="527" t="s">
        <v>175</v>
      </c>
      <c r="C781" s="529"/>
      <c r="D781" s="529"/>
      <c r="E781" s="528">
        <f>SUM(E81+E141+E227+E394+E488+E549+E674)</f>
        <v>60000</v>
      </c>
      <c r="F781" s="529"/>
      <c r="G781" s="378"/>
      <c r="H781" s="378"/>
    </row>
    <row r="782" spans="1:8" x14ac:dyDescent="0.25">
      <c r="A782" s="530" t="s">
        <v>889</v>
      </c>
      <c r="B782" s="530"/>
      <c r="C782" s="531"/>
      <c r="D782" s="531"/>
      <c r="E782" s="531"/>
      <c r="F782" s="533">
        <f>SUM(E765:E781)</f>
        <v>57129070</v>
      </c>
      <c r="G782" s="378"/>
      <c r="H782" s="378"/>
    </row>
    <row r="783" spans="1:8" s="314" customFormat="1" x14ac:dyDescent="0.25">
      <c r="A783" s="535" t="s">
        <v>280</v>
      </c>
      <c r="B783" s="535"/>
      <c r="C783" s="538"/>
      <c r="D783" s="538"/>
      <c r="E783" s="544">
        <f>SUM(F741)</f>
        <v>2355000</v>
      </c>
      <c r="F783" s="544"/>
      <c r="G783" s="567"/>
      <c r="H783" s="567"/>
    </row>
    <row r="784" spans="1:8" s="314" customFormat="1" x14ac:dyDescent="0.25">
      <c r="A784" s="530" t="s">
        <v>1284</v>
      </c>
      <c r="B784" s="530"/>
      <c r="C784" s="531"/>
      <c r="D784" s="531"/>
      <c r="E784" s="531"/>
      <c r="F784" s="533">
        <f>SUM(E783)</f>
        <v>2355000</v>
      </c>
      <c r="G784" s="567"/>
      <c r="H784" s="567"/>
    </row>
    <row r="785" spans="1:8" s="314" customFormat="1" x14ac:dyDescent="0.25">
      <c r="A785" s="557" t="s">
        <v>286</v>
      </c>
      <c r="B785" s="557" t="s">
        <v>285</v>
      </c>
      <c r="C785" s="566"/>
      <c r="D785" s="566"/>
      <c r="E785" s="556">
        <f>SUM(F181)</f>
        <v>6392468</v>
      </c>
      <c r="F785" s="544"/>
      <c r="G785" s="567"/>
      <c r="H785" s="567"/>
    </row>
    <row r="786" spans="1:8" s="314" customFormat="1" x14ac:dyDescent="0.25">
      <c r="A786" s="557" t="s">
        <v>294</v>
      </c>
      <c r="B786" s="557" t="s">
        <v>1275</v>
      </c>
      <c r="C786" s="566"/>
      <c r="D786" s="566"/>
      <c r="E786" s="556">
        <f>SUM(E189)</f>
        <v>3738000</v>
      </c>
      <c r="F786" s="544"/>
      <c r="G786" s="567"/>
      <c r="H786" s="567"/>
    </row>
    <row r="787" spans="1:8" s="314" customFormat="1" x14ac:dyDescent="0.25">
      <c r="A787" s="557" t="s">
        <v>298</v>
      </c>
      <c r="B787" s="557" t="s">
        <v>1276</v>
      </c>
      <c r="C787" s="566"/>
      <c r="D787" s="566"/>
      <c r="E787" s="556">
        <v>0</v>
      </c>
      <c r="F787" s="544"/>
      <c r="G787" s="567"/>
      <c r="H787" s="567"/>
    </row>
    <row r="788" spans="1:8" s="314" customFormat="1" x14ac:dyDescent="0.25">
      <c r="A788" s="557" t="s">
        <v>306</v>
      </c>
      <c r="B788" s="557" t="s">
        <v>1277</v>
      </c>
      <c r="C788" s="566"/>
      <c r="D788" s="566"/>
      <c r="E788" s="556">
        <f>SUM(E195+D697+E710)</f>
        <v>11544000</v>
      </c>
      <c r="F788" s="544"/>
      <c r="G788" s="567"/>
      <c r="H788" s="567"/>
    </row>
    <row r="789" spans="1:8" s="314" customFormat="1" x14ac:dyDescent="0.25">
      <c r="A789" s="557" t="s">
        <v>598</v>
      </c>
      <c r="B789" s="557" t="s">
        <v>1278</v>
      </c>
      <c r="C789" s="566"/>
      <c r="D789" s="566"/>
      <c r="E789" s="556">
        <f>SUM(E199)</f>
        <v>243223644</v>
      </c>
      <c r="F789" s="544"/>
      <c r="G789" s="567"/>
      <c r="H789" s="567"/>
    </row>
    <row r="790" spans="1:8" s="314" customFormat="1" x14ac:dyDescent="0.25">
      <c r="A790" s="530" t="s">
        <v>986</v>
      </c>
      <c r="B790" s="530"/>
      <c r="C790" s="531"/>
      <c r="D790" s="531"/>
      <c r="E790" s="533"/>
      <c r="F790" s="533">
        <f>SUM(E785:E789)</f>
        <v>264898112</v>
      </c>
      <c r="G790" s="567"/>
      <c r="H790" s="567"/>
    </row>
    <row r="791" spans="1:8" s="314" customFormat="1" x14ac:dyDescent="0.25">
      <c r="A791" s="595" t="s">
        <v>1431</v>
      </c>
      <c r="B791" s="595" t="s">
        <v>1432</v>
      </c>
      <c r="C791" s="596"/>
      <c r="D791" s="596"/>
      <c r="E791" s="597">
        <f>SUM(E677)</f>
        <v>40469</v>
      </c>
      <c r="F791" s="544"/>
      <c r="G791" s="567"/>
      <c r="H791" s="567"/>
    </row>
    <row r="792" spans="1:8" s="314" customFormat="1" x14ac:dyDescent="0.25">
      <c r="A792" s="557" t="s">
        <v>317</v>
      </c>
      <c r="B792" s="557" t="s">
        <v>1279</v>
      </c>
      <c r="C792" s="566"/>
      <c r="D792" s="566"/>
      <c r="E792" s="556">
        <f>SUM(E144)</f>
        <v>0</v>
      </c>
      <c r="F792" s="544"/>
      <c r="G792" s="567"/>
      <c r="H792" s="567"/>
    </row>
    <row r="793" spans="1:8" s="314" customFormat="1" x14ac:dyDescent="0.25">
      <c r="A793" s="557" t="s">
        <v>322</v>
      </c>
      <c r="B793" s="557" t="s">
        <v>1280</v>
      </c>
      <c r="C793" s="566"/>
      <c r="D793" s="566"/>
      <c r="E793" s="556">
        <f>SUM(E146+E679)</f>
        <v>10927</v>
      </c>
      <c r="F793" s="544"/>
      <c r="G793" s="567"/>
      <c r="H793" s="567"/>
    </row>
    <row r="794" spans="1:8" s="314" customFormat="1" x14ac:dyDescent="0.25">
      <c r="A794" s="530" t="s">
        <v>1285</v>
      </c>
      <c r="B794" s="530"/>
      <c r="C794" s="531"/>
      <c r="D794" s="531"/>
      <c r="E794" s="533"/>
      <c r="F794" s="533">
        <f>SUM(E791:E793)</f>
        <v>51396</v>
      </c>
      <c r="G794" s="567"/>
      <c r="H794" s="567"/>
    </row>
    <row r="795" spans="1:8" s="314" customFormat="1" x14ac:dyDescent="0.25">
      <c r="A795" s="595" t="s">
        <v>325</v>
      </c>
      <c r="B795" s="595" t="s">
        <v>1384</v>
      </c>
      <c r="C795" s="538"/>
      <c r="D795" s="538"/>
      <c r="E795" s="597">
        <f>SUM(E243+E300)</f>
        <v>40578203</v>
      </c>
      <c r="F795" s="544"/>
      <c r="G795" s="567"/>
      <c r="H795" s="567"/>
    </row>
    <row r="796" spans="1:8" x14ac:dyDescent="0.25">
      <c r="A796" s="557" t="s">
        <v>329</v>
      </c>
      <c r="B796" s="557" t="s">
        <v>1231</v>
      </c>
      <c r="C796" s="541"/>
      <c r="D796" s="541"/>
      <c r="E796" s="556">
        <f>SUM(E284)</f>
        <v>1575000</v>
      </c>
      <c r="F796" s="555"/>
      <c r="G796" s="378"/>
      <c r="H796" s="378"/>
    </row>
    <row r="797" spans="1:8" x14ac:dyDescent="0.25">
      <c r="A797" s="378" t="s">
        <v>330</v>
      </c>
      <c r="B797" s="557" t="s">
        <v>1281</v>
      </c>
      <c r="C797" s="378"/>
      <c r="D797" s="378"/>
      <c r="E797" s="552">
        <f>SUM(E246+E286+E302)</f>
        <v>11381365</v>
      </c>
      <c r="F797" s="552"/>
      <c r="G797" s="378"/>
      <c r="H797" s="378"/>
    </row>
    <row r="798" spans="1:8" s="313" customFormat="1" x14ac:dyDescent="0.25">
      <c r="A798" s="568" t="s">
        <v>999</v>
      </c>
      <c r="B798" s="568"/>
      <c r="C798" s="568"/>
      <c r="D798" s="568"/>
      <c r="E798" s="569"/>
      <c r="F798" s="569">
        <f>SUM(E795:E797)</f>
        <v>53534568</v>
      </c>
      <c r="G798" s="570"/>
      <c r="H798" s="570"/>
    </row>
    <row r="799" spans="1:8" x14ac:dyDescent="0.25">
      <c r="A799" s="378" t="s">
        <v>375</v>
      </c>
      <c r="B799" s="378" t="s">
        <v>868</v>
      </c>
      <c r="C799" s="378"/>
      <c r="D799" s="378"/>
      <c r="E799" s="552">
        <f>SUM(E182)</f>
        <v>3504664</v>
      </c>
      <c r="F799" s="552"/>
      <c r="G799" s="378"/>
      <c r="H799" s="378"/>
    </row>
    <row r="800" spans="1:8" x14ac:dyDescent="0.25">
      <c r="A800" s="378" t="s">
        <v>377</v>
      </c>
      <c r="B800" s="378" t="s">
        <v>1282</v>
      </c>
      <c r="C800" s="378"/>
      <c r="D800" s="378"/>
      <c r="E800" s="552">
        <f>SUM(E202)</f>
        <v>79475225.599999994</v>
      </c>
      <c r="F800" s="552"/>
      <c r="G800" s="378"/>
      <c r="H800" s="378"/>
    </row>
    <row r="801" spans="1:8" s="313" customFormat="1" x14ac:dyDescent="0.25">
      <c r="A801" s="568" t="s">
        <v>989</v>
      </c>
      <c r="B801" s="568"/>
      <c r="C801" s="568"/>
      <c r="D801" s="568"/>
      <c r="E801" s="569"/>
      <c r="F801" s="569">
        <f>SUM(E799:E800)</f>
        <v>82979889.599999994</v>
      </c>
      <c r="G801" s="570"/>
      <c r="H801" s="570"/>
    </row>
    <row r="802" spans="1:8" x14ac:dyDescent="0.25">
      <c r="A802" s="378"/>
      <c r="B802" s="378"/>
      <c r="C802" s="378"/>
      <c r="D802" s="378"/>
      <c r="E802" s="552"/>
      <c r="F802" s="552"/>
      <c r="G802" s="378"/>
      <c r="H802" s="378"/>
    </row>
    <row r="803" spans="1:8" x14ac:dyDescent="0.25">
      <c r="A803" s="571" t="s">
        <v>1283</v>
      </c>
      <c r="B803" s="572"/>
      <c r="C803" s="572"/>
      <c r="D803" s="572"/>
      <c r="E803" s="573"/>
      <c r="F803" s="574">
        <f>SUM(F762:F801)</f>
        <v>536214015.75</v>
      </c>
      <c r="G803" s="378"/>
      <c r="H803" s="378"/>
    </row>
    <row r="804" spans="1:8" x14ac:dyDescent="0.25">
      <c r="A804" s="378"/>
      <c r="B804" s="378"/>
      <c r="C804" s="378"/>
      <c r="D804" s="378"/>
      <c r="E804" s="378"/>
      <c r="F804" s="378"/>
      <c r="G804" s="378"/>
      <c r="H804" s="378"/>
    </row>
    <row r="805" spans="1:8" x14ac:dyDescent="0.25">
      <c r="A805" s="378"/>
      <c r="B805" s="378"/>
      <c r="C805" s="378"/>
      <c r="D805" s="378"/>
      <c r="E805" s="378" t="s">
        <v>1286</v>
      </c>
      <c r="F805" s="562">
        <f>SUM(F84+F97+F150+F170+F184+F209+F230+F250+F269+F289+F305+F317+F350+F397+F417+F426+F491+F552+F561+F571+F580+F624+F682+F692+F705+F715+F725+F743)</f>
        <v>536214015.75</v>
      </c>
      <c r="G805" s="378"/>
      <c r="H805" s="552"/>
    </row>
    <row r="806" spans="1:8" x14ac:dyDescent="0.25">
      <c r="A806" s="378"/>
      <c r="B806" s="378"/>
      <c r="C806" s="378"/>
      <c r="D806" s="378"/>
      <c r="E806" s="378"/>
      <c r="F806" s="378"/>
      <c r="G806" s="378"/>
      <c r="H806" s="378"/>
    </row>
    <row r="807" spans="1:8" x14ac:dyDescent="0.25">
      <c r="A807" s="378"/>
      <c r="B807" s="378"/>
      <c r="C807" s="378"/>
      <c r="D807" s="378"/>
      <c r="E807" s="378" t="s">
        <v>1387</v>
      </c>
      <c r="F807" s="552">
        <f>SUM('ÖNK bevétel cofogra'!F236)</f>
        <v>536214016.15557933</v>
      </c>
      <c r="G807" s="378"/>
      <c r="H807" s="378"/>
    </row>
    <row r="808" spans="1:8" x14ac:dyDescent="0.25">
      <c r="A808" s="378"/>
      <c r="B808" s="378"/>
      <c r="C808" s="378"/>
      <c r="D808" s="378"/>
      <c r="E808" s="378" t="s">
        <v>1388</v>
      </c>
      <c r="F808" s="552">
        <f>SUM(F807-F805)</f>
        <v>0.4055793285369873</v>
      </c>
      <c r="G808" s="378"/>
      <c r="H808" s="378"/>
    </row>
    <row r="809" spans="1:8" x14ac:dyDescent="0.25">
      <c r="A809" s="378"/>
      <c r="B809" s="378"/>
      <c r="C809" s="378"/>
      <c r="D809" s="378"/>
      <c r="E809" s="378"/>
      <c r="F809" s="378"/>
      <c r="G809" s="378"/>
      <c r="H809" s="378"/>
    </row>
    <row r="810" spans="1:8" x14ac:dyDescent="0.25">
      <c r="A810" s="378"/>
      <c r="B810" s="378"/>
      <c r="C810" s="378"/>
      <c r="D810" s="378"/>
      <c r="E810" s="378"/>
      <c r="F810" s="378"/>
      <c r="G810" s="378"/>
      <c r="H810" s="378"/>
    </row>
    <row r="811" spans="1:8" x14ac:dyDescent="0.25">
      <c r="A811" s="378"/>
      <c r="B811" s="378"/>
      <c r="C811" s="378"/>
      <c r="D811" s="378"/>
      <c r="E811" s="378"/>
      <c r="F811" s="378"/>
      <c r="G811" s="378"/>
      <c r="H811" s="378"/>
    </row>
    <row r="812" spans="1:8" x14ac:dyDescent="0.25">
      <c r="A812" s="378"/>
      <c r="B812" s="378"/>
      <c r="C812" s="378"/>
      <c r="D812" s="378"/>
      <c r="E812" s="378"/>
      <c r="F812" s="378"/>
      <c r="G812" s="378"/>
      <c r="H812" s="378"/>
    </row>
    <row r="813" spans="1:8" x14ac:dyDescent="0.25">
      <c r="A813" s="378"/>
      <c r="B813" s="378"/>
      <c r="C813" s="378"/>
      <c r="D813" s="378"/>
      <c r="E813" s="378"/>
      <c r="F813" s="378"/>
      <c r="G813" s="378"/>
      <c r="H813" s="378"/>
    </row>
    <row r="814" spans="1:8" x14ac:dyDescent="0.25">
      <c r="A814" s="378"/>
      <c r="B814" s="378"/>
      <c r="C814" s="378"/>
      <c r="D814" s="378"/>
      <c r="E814" s="378"/>
      <c r="F814" s="378"/>
      <c r="G814" s="378"/>
      <c r="H814" s="378"/>
    </row>
    <row r="815" spans="1:8" x14ac:dyDescent="0.25">
      <c r="A815" s="378"/>
      <c r="B815" s="378"/>
      <c r="C815" s="378"/>
      <c r="D815" s="378"/>
      <c r="E815" s="378"/>
      <c r="F815" s="378"/>
      <c r="G815" s="378"/>
      <c r="H815" s="378"/>
    </row>
    <row r="816" spans="1:8" x14ac:dyDescent="0.25">
      <c r="A816" s="378"/>
      <c r="B816" s="378"/>
      <c r="C816" s="378"/>
      <c r="D816" s="378"/>
      <c r="E816" s="378"/>
      <c r="F816" s="378"/>
      <c r="G816" s="378"/>
      <c r="H816" s="378"/>
    </row>
    <row r="817" spans="1:8" x14ac:dyDescent="0.25">
      <c r="A817" s="378"/>
      <c r="B817" s="378"/>
      <c r="C817" s="378"/>
      <c r="D817" s="378"/>
      <c r="E817" s="378"/>
      <c r="F817" s="378"/>
      <c r="G817" s="378"/>
      <c r="H817" s="378"/>
    </row>
    <row r="818" spans="1:8" x14ac:dyDescent="0.25">
      <c r="A818" s="378"/>
      <c r="B818" s="378"/>
      <c r="C818" s="378"/>
      <c r="D818" s="378"/>
      <c r="E818" s="378"/>
      <c r="F818" s="378"/>
      <c r="G818" s="378"/>
      <c r="H818" s="378"/>
    </row>
    <row r="819" spans="1:8" x14ac:dyDescent="0.25">
      <c r="A819" s="378"/>
      <c r="B819" s="378"/>
      <c r="C819" s="378"/>
      <c r="D819" s="378"/>
      <c r="E819" s="378"/>
      <c r="F819" s="378"/>
      <c r="G819" s="378"/>
      <c r="H819" s="378"/>
    </row>
    <row r="820" spans="1:8" x14ac:dyDescent="0.25">
      <c r="A820" s="378"/>
      <c r="B820" s="378"/>
      <c r="C820" s="378"/>
      <c r="D820" s="378"/>
      <c r="E820" s="378"/>
      <c r="F820" s="378"/>
      <c r="G820" s="378"/>
      <c r="H820" s="378"/>
    </row>
    <row r="821" spans="1:8" x14ac:dyDescent="0.25">
      <c r="A821" s="378"/>
      <c r="B821" s="378"/>
      <c r="C821" s="378"/>
      <c r="D821" s="378"/>
      <c r="E821" s="378"/>
      <c r="F821" s="378"/>
      <c r="G821" s="378"/>
      <c r="H821" s="378"/>
    </row>
    <row r="822" spans="1:8" x14ac:dyDescent="0.25">
      <c r="A822" s="378"/>
      <c r="B822" s="378"/>
      <c r="C822" s="378"/>
      <c r="D822" s="378"/>
      <c r="E822" s="378"/>
      <c r="F822" s="378"/>
      <c r="G822" s="378"/>
      <c r="H822" s="378"/>
    </row>
    <row r="823" spans="1:8" x14ac:dyDescent="0.25">
      <c r="A823" s="378"/>
      <c r="B823" s="378"/>
      <c r="C823" s="378"/>
      <c r="D823" s="378"/>
      <c r="E823" s="378"/>
      <c r="F823" s="378"/>
      <c r="G823" s="378"/>
      <c r="H823" s="378"/>
    </row>
    <row r="824" spans="1:8" x14ac:dyDescent="0.25">
      <c r="A824" s="378"/>
      <c r="B824" s="378"/>
      <c r="C824" s="378"/>
      <c r="D824" s="378"/>
      <c r="E824" s="378"/>
      <c r="F824" s="378"/>
      <c r="G824" s="378"/>
      <c r="H824" s="378"/>
    </row>
    <row r="825" spans="1:8" x14ac:dyDescent="0.25">
      <c r="A825" s="378"/>
      <c r="B825" s="378"/>
      <c r="C825" s="378"/>
      <c r="D825" s="378"/>
      <c r="E825" s="378"/>
      <c r="F825" s="378"/>
      <c r="G825" s="378"/>
      <c r="H825" s="378"/>
    </row>
    <row r="826" spans="1:8" x14ac:dyDescent="0.25">
      <c r="A826" s="378"/>
      <c r="B826" s="378"/>
      <c r="C826" s="378"/>
      <c r="D826" s="378"/>
      <c r="E826" s="378"/>
      <c r="F826" s="378"/>
      <c r="G826" s="378"/>
      <c r="H826" s="378"/>
    </row>
    <row r="827" spans="1:8" x14ac:dyDescent="0.25">
      <c r="A827" s="378"/>
      <c r="B827" s="378"/>
      <c r="C827" s="378"/>
      <c r="D827" s="378"/>
      <c r="E827" s="378"/>
      <c r="F827" s="378"/>
      <c r="G827" s="378"/>
      <c r="H827" s="378"/>
    </row>
    <row r="828" spans="1:8" x14ac:dyDescent="0.25">
      <c r="A828" s="378"/>
      <c r="B828" s="378"/>
      <c r="C828" s="378"/>
      <c r="D828" s="378"/>
      <c r="E828" s="378"/>
      <c r="F828" s="378"/>
      <c r="G828" s="378"/>
      <c r="H828" s="378"/>
    </row>
    <row r="829" spans="1:8" x14ac:dyDescent="0.25">
      <c r="A829" s="378"/>
      <c r="B829" s="378"/>
      <c r="C829" s="378"/>
      <c r="D829" s="378"/>
      <c r="E829" s="378"/>
      <c r="F829" s="378"/>
      <c r="G829" s="378"/>
      <c r="H829" s="378"/>
    </row>
    <row r="830" spans="1:8" x14ac:dyDescent="0.25">
      <c r="A830" s="378"/>
      <c r="B830" s="378"/>
      <c r="C830" s="378"/>
      <c r="D830" s="378"/>
      <c r="E830" s="378"/>
      <c r="F830" s="378"/>
      <c r="G830" s="378"/>
      <c r="H830" s="378"/>
    </row>
    <row r="831" spans="1:8" x14ac:dyDescent="0.25">
      <c r="A831" s="378"/>
      <c r="B831" s="378"/>
      <c r="C831" s="378"/>
      <c r="D831" s="378"/>
      <c r="E831" s="378"/>
      <c r="F831" s="378"/>
      <c r="G831" s="378"/>
      <c r="H831" s="378"/>
    </row>
    <row r="832" spans="1:8" x14ac:dyDescent="0.25">
      <c r="A832" s="378"/>
      <c r="B832" s="378"/>
      <c r="C832" s="378"/>
      <c r="D832" s="378"/>
      <c r="E832" s="378"/>
      <c r="F832" s="378"/>
      <c r="G832" s="378"/>
      <c r="H832" s="378"/>
    </row>
    <row r="833" spans="1:8" x14ac:dyDescent="0.25">
      <c r="A833" s="378"/>
      <c r="B833" s="378"/>
      <c r="C833" s="378"/>
      <c r="D833" s="378"/>
      <c r="E833" s="378"/>
      <c r="F833" s="378"/>
      <c r="G833" s="378"/>
      <c r="H833" s="378"/>
    </row>
    <row r="834" spans="1:8" x14ac:dyDescent="0.25">
      <c r="A834" s="378"/>
      <c r="B834" s="378"/>
      <c r="C834" s="378"/>
      <c r="D834" s="378"/>
      <c r="E834" s="378"/>
      <c r="F834" s="378"/>
      <c r="G834" s="378"/>
      <c r="H834" s="378"/>
    </row>
    <row r="835" spans="1:8" x14ac:dyDescent="0.25">
      <c r="A835" s="378"/>
      <c r="B835" s="378"/>
      <c r="C835" s="378"/>
      <c r="D835" s="378"/>
      <c r="E835" s="378"/>
      <c r="F835" s="378"/>
      <c r="G835" s="378"/>
      <c r="H835" s="378"/>
    </row>
    <row r="836" spans="1:8" x14ac:dyDescent="0.25">
      <c r="A836" s="378"/>
      <c r="B836" s="378"/>
      <c r="C836" s="378"/>
      <c r="D836" s="378"/>
      <c r="E836" s="378"/>
      <c r="F836" s="378"/>
      <c r="G836" s="378"/>
      <c r="H836" s="378"/>
    </row>
    <row r="837" spans="1:8" x14ac:dyDescent="0.25">
      <c r="A837" s="378"/>
      <c r="B837" s="378"/>
      <c r="C837" s="378"/>
      <c r="D837" s="378"/>
      <c r="E837" s="378"/>
      <c r="F837" s="378"/>
      <c r="G837" s="378"/>
      <c r="H837" s="378"/>
    </row>
    <row r="838" spans="1:8" x14ac:dyDescent="0.25">
      <c r="A838" s="378"/>
      <c r="B838" s="378"/>
      <c r="C838" s="378"/>
      <c r="D838" s="378"/>
      <c r="E838" s="378"/>
      <c r="F838" s="378"/>
      <c r="G838" s="378"/>
      <c r="H838" s="378"/>
    </row>
    <row r="839" spans="1:8" x14ac:dyDescent="0.25">
      <c r="A839" s="378"/>
      <c r="B839" s="378"/>
      <c r="C839" s="378"/>
      <c r="D839" s="378"/>
      <c r="E839" s="378"/>
      <c r="F839" s="378"/>
      <c r="G839" s="378"/>
      <c r="H839" s="378"/>
    </row>
    <row r="840" spans="1:8" x14ac:dyDescent="0.25">
      <c r="A840" s="378"/>
      <c r="B840" s="378"/>
      <c r="C840" s="378"/>
      <c r="D840" s="378"/>
      <c r="E840" s="378"/>
      <c r="F840" s="378"/>
      <c r="G840" s="378"/>
      <c r="H840" s="378"/>
    </row>
    <row r="841" spans="1:8" x14ac:dyDescent="0.25">
      <c r="A841" s="378"/>
      <c r="B841" s="378"/>
      <c r="C841" s="378"/>
      <c r="D841" s="378"/>
      <c r="E841" s="378"/>
      <c r="F841" s="378"/>
      <c r="G841" s="378"/>
      <c r="H841" s="378"/>
    </row>
    <row r="842" spans="1:8" x14ac:dyDescent="0.25">
      <c r="A842" s="378"/>
      <c r="B842" s="378"/>
      <c r="C842" s="378"/>
      <c r="D842" s="378"/>
      <c r="E842" s="378"/>
      <c r="F842" s="378"/>
      <c r="G842" s="378"/>
      <c r="H842" s="378"/>
    </row>
    <row r="843" spans="1:8" x14ac:dyDescent="0.25">
      <c r="A843" s="378"/>
      <c r="B843" s="378"/>
      <c r="C843" s="378"/>
      <c r="D843" s="378"/>
      <c r="E843" s="378"/>
      <c r="F843" s="378"/>
      <c r="G843" s="378"/>
      <c r="H843" s="378"/>
    </row>
    <row r="844" spans="1:8" x14ac:dyDescent="0.25">
      <c r="A844" s="378"/>
      <c r="B844" s="378"/>
      <c r="C844" s="378"/>
      <c r="D844" s="378"/>
      <c r="E844" s="378"/>
      <c r="F844" s="378"/>
      <c r="G844" s="378"/>
      <c r="H844" s="378"/>
    </row>
    <row r="845" spans="1:8" x14ac:dyDescent="0.25">
      <c r="A845" s="378"/>
      <c r="B845" s="378"/>
      <c r="C845" s="378"/>
      <c r="D845" s="378"/>
      <c r="E845" s="378"/>
      <c r="F845" s="378"/>
      <c r="G845" s="378"/>
      <c r="H845" s="378"/>
    </row>
    <row r="846" spans="1:8" x14ac:dyDescent="0.25">
      <c r="A846" s="378"/>
      <c r="B846" s="378"/>
      <c r="C846" s="378"/>
      <c r="D846" s="378"/>
      <c r="E846" s="378"/>
      <c r="F846" s="378"/>
      <c r="G846" s="378"/>
      <c r="H846" s="378"/>
    </row>
    <row r="847" spans="1:8" x14ac:dyDescent="0.25">
      <c r="A847" s="378"/>
      <c r="B847" s="378"/>
      <c r="C847" s="378"/>
      <c r="D847" s="378"/>
      <c r="E847" s="378"/>
      <c r="F847" s="378"/>
      <c r="G847" s="378"/>
      <c r="H847" s="378"/>
    </row>
    <row r="848" spans="1:8" x14ac:dyDescent="0.25">
      <c r="A848" s="378"/>
      <c r="B848" s="378"/>
      <c r="C848" s="378"/>
      <c r="D848" s="378"/>
      <c r="E848" s="378"/>
      <c r="F848" s="378"/>
      <c r="G848" s="378"/>
      <c r="H848" s="378"/>
    </row>
    <row r="849" spans="1:8" x14ac:dyDescent="0.25">
      <c r="A849" s="378"/>
      <c r="B849" s="378"/>
      <c r="C849" s="378"/>
      <c r="D849" s="378"/>
      <c r="E849" s="378"/>
      <c r="F849" s="378"/>
      <c r="G849" s="378"/>
      <c r="H849" s="378"/>
    </row>
    <row r="850" spans="1:8" x14ac:dyDescent="0.25">
      <c r="A850" s="378"/>
      <c r="B850" s="378"/>
      <c r="C850" s="378"/>
      <c r="D850" s="378"/>
      <c r="E850" s="378"/>
      <c r="F850" s="378"/>
      <c r="G850" s="378"/>
      <c r="H850" s="378"/>
    </row>
    <row r="851" spans="1:8" x14ac:dyDescent="0.25">
      <c r="A851" s="378"/>
      <c r="B851" s="378"/>
      <c r="C851" s="378"/>
      <c r="D851" s="378"/>
      <c r="E851" s="378"/>
      <c r="F851" s="378"/>
      <c r="G851" s="378"/>
      <c r="H851" s="378"/>
    </row>
    <row r="852" spans="1:8" x14ac:dyDescent="0.25">
      <c r="A852" s="378"/>
      <c r="B852" s="378"/>
      <c r="C852" s="378"/>
      <c r="D852" s="378"/>
      <c r="E852" s="378"/>
      <c r="F852" s="378"/>
      <c r="G852" s="378"/>
      <c r="H852" s="378"/>
    </row>
    <row r="853" spans="1:8" x14ac:dyDescent="0.25">
      <c r="A853" s="378"/>
      <c r="B853" s="378"/>
      <c r="C853" s="378"/>
      <c r="D853" s="378"/>
      <c r="E853" s="378"/>
      <c r="F853" s="378"/>
      <c r="G853" s="378"/>
      <c r="H853" s="378"/>
    </row>
    <row r="854" spans="1:8" x14ac:dyDescent="0.25">
      <c r="A854" s="378"/>
      <c r="B854" s="378"/>
      <c r="C854" s="378"/>
      <c r="D854" s="378"/>
      <c r="E854" s="378"/>
      <c r="F854" s="378"/>
      <c r="G854" s="378"/>
      <c r="H854" s="378"/>
    </row>
    <row r="855" spans="1:8" x14ac:dyDescent="0.25">
      <c r="A855" s="378"/>
      <c r="B855" s="378"/>
      <c r="C855" s="378"/>
      <c r="D855" s="378"/>
      <c r="E855" s="378"/>
      <c r="F855" s="378"/>
      <c r="G855" s="378"/>
      <c r="H855" s="378"/>
    </row>
    <row r="856" spans="1:8" x14ac:dyDescent="0.25">
      <c r="A856" s="378"/>
      <c r="B856" s="378"/>
      <c r="C856" s="378"/>
      <c r="D856" s="378"/>
      <c r="E856" s="378"/>
      <c r="F856" s="378"/>
      <c r="G856" s="378"/>
      <c r="H856" s="378"/>
    </row>
    <row r="857" spans="1:8" x14ac:dyDescent="0.25">
      <c r="A857" s="378"/>
      <c r="B857" s="378"/>
      <c r="C857" s="378"/>
      <c r="D857" s="378"/>
      <c r="E857" s="378"/>
      <c r="F857" s="378"/>
      <c r="G857" s="378"/>
      <c r="H857" s="378"/>
    </row>
    <row r="858" spans="1:8" x14ac:dyDescent="0.25">
      <c r="A858" s="378"/>
      <c r="B858" s="378"/>
      <c r="C858" s="378"/>
      <c r="D858" s="378"/>
      <c r="E858" s="378"/>
      <c r="F858" s="378"/>
      <c r="G858" s="378"/>
      <c r="H858" s="378"/>
    </row>
    <row r="859" spans="1:8" x14ac:dyDescent="0.25">
      <c r="A859" s="378"/>
      <c r="B859" s="378"/>
      <c r="C859" s="378"/>
      <c r="D859" s="378"/>
      <c r="E859" s="378"/>
      <c r="F859" s="378"/>
      <c r="G859" s="378"/>
      <c r="H859" s="378"/>
    </row>
    <row r="860" spans="1:8" x14ac:dyDescent="0.25">
      <c r="A860" s="378"/>
      <c r="B860" s="378"/>
      <c r="C860" s="378"/>
      <c r="D860" s="378"/>
      <c r="E860" s="378"/>
      <c r="F860" s="378"/>
      <c r="G860" s="378"/>
      <c r="H860" s="378"/>
    </row>
    <row r="861" spans="1:8" x14ac:dyDescent="0.25">
      <c r="A861" s="378"/>
      <c r="B861" s="378"/>
      <c r="C861" s="378"/>
      <c r="D861" s="378"/>
      <c r="E861" s="378"/>
      <c r="F861" s="378"/>
      <c r="G861" s="378"/>
      <c r="H861" s="378"/>
    </row>
    <row r="862" spans="1:8" x14ac:dyDescent="0.25">
      <c r="A862" s="378"/>
      <c r="B862" s="378"/>
      <c r="C862" s="378"/>
      <c r="D862" s="378"/>
      <c r="E862" s="378"/>
      <c r="F862" s="378"/>
      <c r="G862" s="378"/>
      <c r="H862" s="378"/>
    </row>
    <row r="863" spans="1:8" x14ac:dyDescent="0.25">
      <c r="A863" s="378"/>
      <c r="B863" s="378"/>
      <c r="C863" s="378"/>
      <c r="D863" s="378"/>
      <c r="E863" s="378"/>
      <c r="F863" s="378"/>
      <c r="G863" s="378"/>
      <c r="H863" s="378"/>
    </row>
    <row r="864" spans="1:8" x14ac:dyDescent="0.25">
      <c r="A864" s="378"/>
      <c r="B864" s="378"/>
      <c r="C864" s="378"/>
      <c r="D864" s="378"/>
      <c r="E864" s="378"/>
      <c r="F864" s="378"/>
      <c r="G864" s="378"/>
      <c r="H864" s="378"/>
    </row>
    <row r="865" spans="1:8" x14ac:dyDescent="0.25">
      <c r="A865" s="378"/>
      <c r="B865" s="378"/>
      <c r="C865" s="378"/>
      <c r="D865" s="378"/>
      <c r="E865" s="378"/>
      <c r="F865" s="378"/>
      <c r="G865" s="378"/>
      <c r="H865" s="378"/>
    </row>
    <row r="866" spans="1:8" x14ac:dyDescent="0.25">
      <c r="A866" s="378"/>
      <c r="B866" s="378"/>
      <c r="C866" s="378"/>
      <c r="D866" s="378"/>
      <c r="E866" s="378"/>
      <c r="F866" s="378"/>
      <c r="G866" s="378"/>
      <c r="H866" s="378"/>
    </row>
    <row r="867" spans="1:8" x14ac:dyDescent="0.25">
      <c r="A867" s="378"/>
      <c r="B867" s="378"/>
      <c r="C867" s="378"/>
      <c r="D867" s="378"/>
      <c r="E867" s="378"/>
      <c r="F867" s="378"/>
      <c r="G867" s="378"/>
      <c r="H867" s="378"/>
    </row>
    <row r="868" spans="1:8" x14ac:dyDescent="0.25">
      <c r="A868" s="378"/>
      <c r="B868" s="378"/>
      <c r="C868" s="378"/>
      <c r="D868" s="378"/>
      <c r="E868" s="378"/>
      <c r="F868" s="378"/>
      <c r="G868" s="378"/>
      <c r="H868" s="378"/>
    </row>
    <row r="869" spans="1:8" x14ac:dyDescent="0.25">
      <c r="A869" s="378"/>
      <c r="B869" s="378"/>
      <c r="C869" s="378"/>
      <c r="D869" s="378"/>
      <c r="E869" s="378"/>
      <c r="F869" s="378"/>
      <c r="G869" s="378"/>
      <c r="H869" s="378"/>
    </row>
    <row r="870" spans="1:8" x14ac:dyDescent="0.25">
      <c r="A870" s="378"/>
      <c r="B870" s="378"/>
      <c r="C870" s="378"/>
      <c r="D870" s="378"/>
      <c r="E870" s="378"/>
      <c r="F870" s="378"/>
      <c r="G870" s="378"/>
      <c r="H870" s="378"/>
    </row>
    <row r="871" spans="1:8" x14ac:dyDescent="0.25">
      <c r="A871" s="378"/>
      <c r="B871" s="378"/>
      <c r="C871" s="378"/>
      <c r="D871" s="378"/>
      <c r="E871" s="378"/>
      <c r="F871" s="378"/>
      <c r="G871" s="378"/>
      <c r="H871" s="378"/>
    </row>
    <row r="872" spans="1:8" x14ac:dyDescent="0.25">
      <c r="A872" s="378"/>
      <c r="B872" s="378"/>
      <c r="C872" s="378"/>
      <c r="D872" s="378"/>
      <c r="E872" s="378"/>
      <c r="F872" s="378"/>
      <c r="G872" s="378"/>
      <c r="H872" s="378"/>
    </row>
    <row r="873" spans="1:8" x14ac:dyDescent="0.25">
      <c r="A873" s="378"/>
      <c r="B873" s="378"/>
      <c r="C873" s="378"/>
      <c r="D873" s="378"/>
      <c r="E873" s="378"/>
      <c r="F873" s="378"/>
      <c r="G873" s="378"/>
      <c r="H873" s="378"/>
    </row>
    <row r="874" spans="1:8" x14ac:dyDescent="0.25">
      <c r="A874" s="378"/>
      <c r="B874" s="378"/>
      <c r="C874" s="378"/>
      <c r="D874" s="378"/>
      <c r="E874" s="378"/>
      <c r="F874" s="378"/>
      <c r="G874" s="378"/>
      <c r="H874" s="378"/>
    </row>
    <row r="875" spans="1:8" x14ac:dyDescent="0.25">
      <c r="A875" s="378"/>
      <c r="B875" s="378"/>
      <c r="C875" s="378"/>
      <c r="D875" s="378"/>
      <c r="E875" s="378"/>
      <c r="F875" s="378"/>
      <c r="G875" s="378"/>
      <c r="H875" s="378"/>
    </row>
    <row r="876" spans="1:8" x14ac:dyDescent="0.25">
      <c r="A876" s="378"/>
      <c r="B876" s="378"/>
      <c r="C876" s="378"/>
      <c r="D876" s="378"/>
      <c r="E876" s="378"/>
      <c r="F876" s="378"/>
      <c r="G876" s="378"/>
      <c r="H876" s="378"/>
    </row>
    <row r="877" spans="1:8" x14ac:dyDescent="0.25">
      <c r="A877" s="378"/>
      <c r="B877" s="378"/>
      <c r="C877" s="378"/>
      <c r="D877" s="378"/>
      <c r="E877" s="378"/>
      <c r="F877" s="378"/>
      <c r="G877" s="378"/>
      <c r="H877" s="378"/>
    </row>
    <row r="878" spans="1:8" x14ac:dyDescent="0.25">
      <c r="A878" s="378"/>
      <c r="B878" s="378"/>
      <c r="C878" s="378"/>
      <c r="D878" s="378"/>
      <c r="E878" s="378"/>
      <c r="F878" s="378"/>
      <c r="G878" s="378"/>
      <c r="H878" s="378"/>
    </row>
    <row r="879" spans="1:8" x14ac:dyDescent="0.25">
      <c r="A879" s="378"/>
      <c r="B879" s="378"/>
      <c r="C879" s="378"/>
      <c r="D879" s="378"/>
      <c r="E879" s="378"/>
      <c r="F879" s="378"/>
      <c r="G879" s="378"/>
      <c r="H879" s="378"/>
    </row>
    <row r="880" spans="1:8" x14ac:dyDescent="0.25">
      <c r="A880" s="378"/>
      <c r="B880" s="378"/>
      <c r="C880" s="378"/>
      <c r="D880" s="378"/>
      <c r="E880" s="378"/>
      <c r="F880" s="378"/>
      <c r="G880" s="378"/>
      <c r="H880" s="378"/>
    </row>
    <row r="881" spans="1:8" x14ac:dyDescent="0.25">
      <c r="A881" s="378"/>
      <c r="B881" s="378"/>
      <c r="C881" s="378"/>
      <c r="D881" s="378"/>
      <c r="E881" s="378"/>
      <c r="F881" s="378"/>
      <c r="G881" s="378"/>
      <c r="H881" s="378"/>
    </row>
    <row r="882" spans="1:8" x14ac:dyDescent="0.25">
      <c r="A882" s="378"/>
      <c r="B882" s="378"/>
      <c r="C882" s="378"/>
      <c r="D882" s="378"/>
      <c r="E882" s="378"/>
      <c r="F882" s="378"/>
      <c r="G882" s="378"/>
      <c r="H882" s="378"/>
    </row>
    <row r="883" spans="1:8" x14ac:dyDescent="0.25">
      <c r="A883" s="378"/>
      <c r="B883" s="378"/>
      <c r="C883" s="378"/>
      <c r="D883" s="378"/>
      <c r="E883" s="378"/>
      <c r="F883" s="378"/>
      <c r="G883" s="378"/>
      <c r="H883" s="378"/>
    </row>
    <row r="884" spans="1:8" x14ac:dyDescent="0.25">
      <c r="A884" s="378"/>
      <c r="B884" s="378"/>
      <c r="C884" s="378"/>
      <c r="D884" s="378"/>
      <c r="E884" s="378"/>
      <c r="F884" s="378"/>
      <c r="G884" s="378"/>
      <c r="H884" s="378"/>
    </row>
    <row r="885" spans="1:8" x14ac:dyDescent="0.25">
      <c r="A885" s="378"/>
      <c r="B885" s="378"/>
      <c r="C885" s="378"/>
      <c r="D885" s="378"/>
      <c r="E885" s="378"/>
      <c r="F885" s="378"/>
      <c r="G885" s="378"/>
      <c r="H885" s="378"/>
    </row>
    <row r="886" spans="1:8" x14ac:dyDescent="0.25">
      <c r="A886" s="378"/>
      <c r="B886" s="378"/>
      <c r="C886" s="378"/>
      <c r="D886" s="378"/>
      <c r="E886" s="378"/>
      <c r="F886" s="378"/>
      <c r="G886" s="378"/>
      <c r="H886" s="378"/>
    </row>
    <row r="887" spans="1:8" x14ac:dyDescent="0.25">
      <c r="A887" s="378"/>
      <c r="B887" s="378"/>
      <c r="C887" s="378"/>
      <c r="D887" s="378"/>
      <c r="E887" s="378"/>
      <c r="F887" s="378"/>
      <c r="G887" s="378"/>
      <c r="H887" s="378"/>
    </row>
    <row r="888" spans="1:8" x14ac:dyDescent="0.25">
      <c r="A888" s="378"/>
      <c r="B888" s="378"/>
      <c r="C888" s="378"/>
      <c r="D888" s="378"/>
      <c r="E888" s="378"/>
      <c r="F888" s="378"/>
      <c r="G888" s="378"/>
      <c r="H888" s="378"/>
    </row>
    <row r="889" spans="1:8" x14ac:dyDescent="0.25">
      <c r="A889" s="378"/>
      <c r="B889" s="378"/>
      <c r="C889" s="378"/>
      <c r="D889" s="378"/>
      <c r="E889" s="378"/>
      <c r="F889" s="378"/>
      <c r="G889" s="378"/>
      <c r="H889" s="378"/>
    </row>
    <row r="890" spans="1:8" x14ac:dyDescent="0.25">
      <c r="A890" s="378"/>
      <c r="B890" s="378"/>
      <c r="C890" s="378"/>
      <c r="D890" s="378"/>
      <c r="E890" s="378"/>
      <c r="F890" s="378"/>
      <c r="G890" s="378"/>
      <c r="H890" s="378"/>
    </row>
    <row r="891" spans="1:8" x14ac:dyDescent="0.25">
      <c r="A891" s="378"/>
      <c r="B891" s="378"/>
      <c r="C891" s="378"/>
      <c r="D891" s="378"/>
      <c r="E891" s="378"/>
      <c r="F891" s="378"/>
      <c r="G891" s="378"/>
      <c r="H891" s="378"/>
    </row>
    <row r="892" spans="1:8" x14ac:dyDescent="0.25">
      <c r="A892" s="378"/>
      <c r="B892" s="378"/>
      <c r="C892" s="378"/>
      <c r="D892" s="378"/>
      <c r="E892" s="378"/>
      <c r="F892" s="378"/>
      <c r="G892" s="378"/>
      <c r="H892" s="378"/>
    </row>
    <row r="893" spans="1:8" x14ac:dyDescent="0.25">
      <c r="A893" s="378"/>
      <c r="B893" s="378"/>
      <c r="C893" s="378"/>
      <c r="D893" s="378"/>
      <c r="E893" s="378"/>
      <c r="F893" s="378"/>
      <c r="G893" s="378"/>
      <c r="H893" s="378"/>
    </row>
    <row r="894" spans="1:8" x14ac:dyDescent="0.25">
      <c r="A894" s="378"/>
      <c r="B894" s="378"/>
      <c r="C894" s="378"/>
      <c r="D894" s="378"/>
      <c r="E894" s="378"/>
      <c r="F894" s="378"/>
      <c r="G894" s="378"/>
      <c r="H894" s="378"/>
    </row>
    <row r="895" spans="1:8" x14ac:dyDescent="0.25">
      <c r="A895" s="378"/>
      <c r="B895" s="378"/>
      <c r="C895" s="378"/>
      <c r="D895" s="378"/>
      <c r="E895" s="378"/>
      <c r="F895" s="378"/>
      <c r="G895" s="378"/>
      <c r="H895" s="378"/>
    </row>
    <row r="896" spans="1:8" x14ac:dyDescent="0.25">
      <c r="A896" s="378"/>
      <c r="B896" s="378"/>
      <c r="C896" s="378"/>
      <c r="D896" s="378"/>
      <c r="E896" s="378"/>
      <c r="F896" s="378"/>
      <c r="G896" s="378"/>
      <c r="H896" s="378"/>
    </row>
    <row r="897" spans="1:8" x14ac:dyDescent="0.25">
      <c r="A897" s="378"/>
      <c r="B897" s="378"/>
      <c r="C897" s="378"/>
      <c r="D897" s="378"/>
      <c r="E897" s="378"/>
      <c r="F897" s="378"/>
      <c r="G897" s="378"/>
      <c r="H897" s="378"/>
    </row>
    <row r="898" spans="1:8" x14ac:dyDescent="0.25">
      <c r="A898" s="378"/>
      <c r="B898" s="378"/>
      <c r="C898" s="378"/>
      <c r="D898" s="378"/>
      <c r="E898" s="378"/>
      <c r="F898" s="378"/>
      <c r="G898" s="378"/>
      <c r="H898" s="378"/>
    </row>
    <row r="899" spans="1:8" x14ac:dyDescent="0.25">
      <c r="A899" s="378"/>
      <c r="B899" s="378"/>
      <c r="C899" s="378"/>
      <c r="D899" s="378"/>
      <c r="E899" s="378"/>
      <c r="F899" s="378"/>
      <c r="G899" s="378"/>
      <c r="H899" s="378"/>
    </row>
    <row r="900" spans="1:8" x14ac:dyDescent="0.25">
      <c r="A900" s="378"/>
      <c r="B900" s="378"/>
      <c r="C900" s="378"/>
      <c r="D900" s="378"/>
      <c r="E900" s="378"/>
      <c r="F900" s="378"/>
      <c r="G900" s="378"/>
      <c r="H900" s="378"/>
    </row>
    <row r="901" spans="1:8" x14ac:dyDescent="0.25">
      <c r="A901" s="378"/>
      <c r="B901" s="378"/>
      <c r="C901" s="378"/>
      <c r="D901" s="378"/>
      <c r="E901" s="378"/>
      <c r="F901" s="378"/>
      <c r="G901" s="378"/>
      <c r="H901" s="378"/>
    </row>
  </sheetData>
  <autoFilter ref="D1:D901"/>
  <mergeCells count="56">
    <mergeCell ref="A317:B317"/>
    <mergeCell ref="A184:B184"/>
    <mergeCell ref="A209:B209"/>
    <mergeCell ref="A230:B230"/>
    <mergeCell ref="A269:B269"/>
    <mergeCell ref="A289:B289"/>
    <mergeCell ref="A187:F187"/>
    <mergeCell ref="A212:F212"/>
    <mergeCell ref="A233:F233"/>
    <mergeCell ref="A272:F272"/>
    <mergeCell ref="A308:F308"/>
    <mergeCell ref="A253:F253"/>
    <mergeCell ref="B255:C255"/>
    <mergeCell ref="A250:B250"/>
    <mergeCell ref="A292:F292"/>
    <mergeCell ref="A305:B305"/>
    <mergeCell ref="A173:F173"/>
    <mergeCell ref="A2:F2"/>
    <mergeCell ref="A4:F4"/>
    <mergeCell ref="A87:F87"/>
    <mergeCell ref="A100:F100"/>
    <mergeCell ref="A153:F153"/>
    <mergeCell ref="A97:B97"/>
    <mergeCell ref="A150:B150"/>
    <mergeCell ref="A170:B170"/>
    <mergeCell ref="A320:F320"/>
    <mergeCell ref="A353:F353"/>
    <mergeCell ref="A400:F400"/>
    <mergeCell ref="A420:F420"/>
    <mergeCell ref="B422:C422"/>
    <mergeCell ref="A750:F750"/>
    <mergeCell ref="A728:F728"/>
    <mergeCell ref="A555:F555"/>
    <mergeCell ref="A564:F564"/>
    <mergeCell ref="A583:F583"/>
    <mergeCell ref="A627:F627"/>
    <mergeCell ref="A695:F695"/>
    <mergeCell ref="A708:F708"/>
    <mergeCell ref="A561:B561"/>
    <mergeCell ref="A571:B571"/>
    <mergeCell ref="A574:F574"/>
    <mergeCell ref="A580:B580"/>
    <mergeCell ref="A624:B624"/>
    <mergeCell ref="A682:B682"/>
    <mergeCell ref="A715:B715"/>
    <mergeCell ref="A718:F718"/>
    <mergeCell ref="A686:F686"/>
    <mergeCell ref="A692:B692"/>
    <mergeCell ref="A725:B725"/>
    <mergeCell ref="A350:B350"/>
    <mergeCell ref="A417:B417"/>
    <mergeCell ref="A426:B426"/>
    <mergeCell ref="A491:B491"/>
    <mergeCell ref="A552:B552"/>
    <mergeCell ref="A494:F494"/>
    <mergeCell ref="A429:F4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opLeftCell="A195" workbookViewId="0">
      <selection activeCell="E222" sqref="E222"/>
    </sheetView>
  </sheetViews>
  <sheetFormatPr defaultRowHeight="15" x14ac:dyDescent="0.25"/>
  <cols>
    <col min="1" max="1" width="5.28515625" customWidth="1"/>
    <col min="2" max="2" width="11.5703125" customWidth="1"/>
    <col min="3" max="3" width="10.28515625" customWidth="1"/>
    <col min="4" max="4" width="13.42578125" customWidth="1"/>
    <col min="5" max="5" width="15.28515625" customWidth="1"/>
    <col min="6" max="6" width="14.42578125" customWidth="1"/>
  </cols>
  <sheetData>
    <row r="1" spans="1:7" ht="15.75" thickBot="1" x14ac:dyDescent="0.3">
      <c r="A1" s="378"/>
      <c r="B1" s="378"/>
      <c r="C1" s="378"/>
      <c r="D1" s="378"/>
      <c r="E1" s="378"/>
      <c r="F1" s="378"/>
    </row>
    <row r="2" spans="1:7" ht="15.75" thickBot="1" x14ac:dyDescent="0.3">
      <c r="A2" s="750" t="s">
        <v>1073</v>
      </c>
      <c r="B2" s="751"/>
      <c r="C2" s="751"/>
      <c r="D2" s="751"/>
      <c r="E2" s="751"/>
      <c r="F2" s="751"/>
      <c r="G2" s="311"/>
    </row>
    <row r="3" spans="1:7" x14ac:dyDescent="0.25">
      <c r="A3" s="619"/>
      <c r="B3" s="619"/>
      <c r="C3" s="619"/>
      <c r="D3" s="619"/>
      <c r="E3" s="619"/>
      <c r="F3" s="619"/>
      <c r="G3" s="311"/>
    </row>
    <row r="4" spans="1:7" x14ac:dyDescent="0.25">
      <c r="A4" s="570" t="s">
        <v>460</v>
      </c>
      <c r="B4" s="570" t="s">
        <v>459</v>
      </c>
      <c r="C4" s="575"/>
      <c r="D4" s="576"/>
      <c r="E4" s="576">
        <v>5000</v>
      </c>
      <c r="F4" s="552"/>
      <c r="G4" s="296"/>
    </row>
    <row r="5" spans="1:7" x14ac:dyDescent="0.25">
      <c r="A5" s="570"/>
      <c r="B5" s="570"/>
      <c r="C5" s="575"/>
      <c r="D5" s="576"/>
      <c r="E5" s="576"/>
      <c r="F5" s="552"/>
      <c r="G5" s="296"/>
    </row>
    <row r="6" spans="1:7" x14ac:dyDescent="0.25">
      <c r="A6" s="570" t="s">
        <v>462</v>
      </c>
      <c r="B6" s="570" t="s">
        <v>133</v>
      </c>
      <c r="C6" s="575"/>
      <c r="D6" s="576"/>
      <c r="E6" s="576">
        <f>SUM(D7:D7)</f>
        <v>2601000</v>
      </c>
      <c r="F6" s="552"/>
      <c r="G6" s="296"/>
    </row>
    <row r="7" spans="1:7" x14ac:dyDescent="0.25">
      <c r="A7" s="378"/>
      <c r="B7" s="378" t="s">
        <v>1074</v>
      </c>
      <c r="C7" s="521"/>
      <c r="D7" s="552">
        <v>2601000</v>
      </c>
      <c r="E7" s="552"/>
      <c r="F7" s="552"/>
      <c r="G7" s="296"/>
    </row>
    <row r="8" spans="1:7" x14ac:dyDescent="0.25">
      <c r="A8" s="570" t="s">
        <v>471</v>
      </c>
      <c r="B8" s="570" t="s">
        <v>1075</v>
      </c>
      <c r="C8" s="575"/>
      <c r="D8" s="576"/>
      <c r="E8" s="576">
        <v>1000</v>
      </c>
      <c r="F8" s="552"/>
      <c r="G8" s="296"/>
    </row>
    <row r="9" spans="1:7" x14ac:dyDescent="0.25">
      <c r="A9" s="570" t="s">
        <v>873</v>
      </c>
      <c r="B9" s="570" t="s">
        <v>474</v>
      </c>
      <c r="C9" s="521"/>
      <c r="D9" s="552"/>
      <c r="E9" s="576">
        <f>SUM(D10)</f>
        <v>5000</v>
      </c>
      <c r="F9" s="552"/>
      <c r="G9" s="296"/>
    </row>
    <row r="10" spans="1:7" x14ac:dyDescent="0.25">
      <c r="A10" s="378"/>
      <c r="B10" s="570" t="s">
        <v>991</v>
      </c>
      <c r="C10" s="521"/>
      <c r="D10" s="552">
        <v>5000</v>
      </c>
      <c r="E10" s="552"/>
      <c r="F10" s="552"/>
      <c r="G10" s="296"/>
    </row>
    <row r="11" spans="1:7" ht="15.75" thickBot="1" x14ac:dyDescent="0.3">
      <c r="A11" s="568" t="s">
        <v>1065</v>
      </c>
      <c r="B11" s="583"/>
      <c r="C11" s="584"/>
      <c r="D11" s="582"/>
      <c r="E11" s="582"/>
      <c r="F11" s="569">
        <f>SUM(E4:E10)</f>
        <v>2612000</v>
      </c>
      <c r="G11" s="296"/>
    </row>
    <row r="12" spans="1:7" ht="15.75" thickBot="1" x14ac:dyDescent="0.3">
      <c r="A12" s="725" t="s">
        <v>1342</v>
      </c>
      <c r="B12" s="725"/>
      <c r="C12" s="584"/>
      <c r="D12" s="582"/>
      <c r="E12" s="582"/>
      <c r="F12" s="613">
        <f>SUM(F11)</f>
        <v>2612000</v>
      </c>
      <c r="G12" s="309"/>
    </row>
    <row r="13" spans="1:7" x14ac:dyDescent="0.25">
      <c r="A13" s="378"/>
      <c r="B13" s="378"/>
      <c r="C13" s="521"/>
      <c r="D13" s="552"/>
      <c r="E13" s="552"/>
      <c r="F13" s="578"/>
      <c r="G13" s="296"/>
    </row>
    <row r="14" spans="1:7" ht="15.75" thickBot="1" x14ac:dyDescent="0.3">
      <c r="A14" s="378"/>
      <c r="B14" s="378"/>
      <c r="C14" s="521"/>
      <c r="D14" s="521"/>
      <c r="E14" s="521"/>
      <c r="F14" s="521"/>
      <c r="G14" s="296"/>
    </row>
    <row r="15" spans="1:7" ht="15.75" thickBot="1" x14ac:dyDescent="0.3">
      <c r="A15" s="750" t="s">
        <v>1076</v>
      </c>
      <c r="B15" s="751"/>
      <c r="C15" s="751"/>
      <c r="D15" s="751"/>
      <c r="E15" s="751"/>
      <c r="F15" s="751"/>
      <c r="G15" s="311"/>
    </row>
    <row r="16" spans="1:7" x14ac:dyDescent="0.25">
      <c r="A16" s="619"/>
      <c r="B16" s="619"/>
      <c r="C16" s="619"/>
      <c r="D16" s="619"/>
      <c r="E16" s="619"/>
      <c r="F16" s="619"/>
      <c r="G16" s="311"/>
    </row>
    <row r="17" spans="1:7" x14ac:dyDescent="0.25">
      <c r="A17" s="570" t="s">
        <v>460</v>
      </c>
      <c r="B17" s="570" t="s">
        <v>459</v>
      </c>
      <c r="C17" s="575"/>
      <c r="D17" s="576"/>
      <c r="E17" s="576">
        <f>SUM(D18)</f>
        <v>60000</v>
      </c>
      <c r="F17" s="552"/>
      <c r="G17" s="296"/>
    </row>
    <row r="18" spans="1:7" x14ac:dyDescent="0.25">
      <c r="A18" s="570"/>
      <c r="B18" s="378" t="s">
        <v>1077</v>
      </c>
      <c r="C18" s="575"/>
      <c r="D18" s="552">
        <v>60000</v>
      </c>
      <c r="E18" s="576"/>
      <c r="F18" s="552"/>
      <c r="G18" s="296"/>
    </row>
    <row r="19" spans="1:7" ht="15.75" thickBot="1" x14ac:dyDescent="0.3">
      <c r="A19" s="568" t="s">
        <v>1065</v>
      </c>
      <c r="B19" s="583"/>
      <c r="C19" s="584"/>
      <c r="D19" s="582"/>
      <c r="E19" s="582"/>
      <c r="F19" s="569">
        <f>SUM(E17:E18)</f>
        <v>60000</v>
      </c>
      <c r="G19" s="296"/>
    </row>
    <row r="20" spans="1:7" ht="15.75" thickBot="1" x14ac:dyDescent="0.3">
      <c r="A20" s="725" t="s">
        <v>1342</v>
      </c>
      <c r="B20" s="725"/>
      <c r="C20" s="584"/>
      <c r="D20" s="582"/>
      <c r="E20" s="582"/>
      <c r="F20" s="613">
        <f>SUM(F19)</f>
        <v>60000</v>
      </c>
      <c r="G20" s="309"/>
    </row>
    <row r="21" spans="1:7" x14ac:dyDescent="0.25">
      <c r="A21" s="378"/>
      <c r="B21" s="378"/>
      <c r="C21" s="521"/>
      <c r="D21" s="552"/>
      <c r="E21" s="552"/>
      <c r="F21" s="579"/>
      <c r="G21" s="296"/>
    </row>
    <row r="22" spans="1:7" x14ac:dyDescent="0.25">
      <c r="A22" s="378"/>
      <c r="B22" s="378"/>
      <c r="C22" s="521"/>
      <c r="D22" s="521"/>
      <c r="E22" s="521"/>
      <c r="F22" s="521"/>
      <c r="G22" s="296"/>
    </row>
    <row r="23" spans="1:7" x14ac:dyDescent="0.25">
      <c r="A23" s="378"/>
      <c r="B23" s="378"/>
      <c r="C23" s="521"/>
      <c r="D23" s="521"/>
      <c r="E23" s="521"/>
      <c r="F23" s="521"/>
      <c r="G23" s="296"/>
    </row>
    <row r="24" spans="1:7" ht="15.75" thickBot="1" x14ac:dyDescent="0.3">
      <c r="A24" s="378"/>
      <c r="B24" s="378"/>
      <c r="C24" s="521"/>
      <c r="D24" s="521"/>
      <c r="E24" s="521"/>
      <c r="F24" s="521"/>
      <c r="G24" s="296"/>
    </row>
    <row r="25" spans="1:7" ht="15.75" thickBot="1" x14ac:dyDescent="0.3">
      <c r="A25" s="750" t="s">
        <v>1078</v>
      </c>
      <c r="B25" s="751"/>
      <c r="C25" s="751"/>
      <c r="D25" s="751"/>
      <c r="E25" s="751"/>
      <c r="F25" s="751"/>
      <c r="G25" s="311"/>
    </row>
    <row r="26" spans="1:7" x14ac:dyDescent="0.25">
      <c r="A26" s="619"/>
      <c r="B26" s="619"/>
      <c r="C26" s="619"/>
      <c r="D26" s="619"/>
      <c r="E26" s="619"/>
      <c r="F26" s="619"/>
      <c r="G26" s="311"/>
    </row>
    <row r="27" spans="1:7" x14ac:dyDescent="0.25">
      <c r="A27" s="570" t="s">
        <v>460</v>
      </c>
      <c r="B27" s="570" t="s">
        <v>459</v>
      </c>
      <c r="C27" s="575"/>
      <c r="D27" s="576"/>
      <c r="E27" s="576">
        <f>SUM(D28:D33)</f>
        <v>621000</v>
      </c>
      <c r="F27" s="552"/>
      <c r="G27" s="296"/>
    </row>
    <row r="28" spans="1:7" x14ac:dyDescent="0.25">
      <c r="A28" s="570"/>
      <c r="B28" s="570" t="s">
        <v>1079</v>
      </c>
      <c r="C28" s="575"/>
      <c r="D28" s="576">
        <v>20000</v>
      </c>
      <c r="E28" s="576"/>
      <c r="F28" s="552"/>
      <c r="G28" s="296"/>
    </row>
    <row r="29" spans="1:7" x14ac:dyDescent="0.25">
      <c r="A29" s="570"/>
      <c r="B29" s="570" t="s">
        <v>1080</v>
      </c>
      <c r="C29" s="575"/>
      <c r="D29" s="576">
        <f>SUM(C30:C32)</f>
        <v>588000</v>
      </c>
      <c r="E29" s="576"/>
      <c r="F29" s="552"/>
      <c r="G29" s="296"/>
    </row>
    <row r="30" spans="1:7" x14ac:dyDescent="0.25">
      <c r="A30" s="570"/>
      <c r="B30" s="378" t="s">
        <v>1081</v>
      </c>
      <c r="C30" s="552">
        <v>150000</v>
      </c>
      <c r="D30" s="576"/>
      <c r="E30" s="576"/>
      <c r="F30" s="552"/>
      <c r="G30" s="296"/>
    </row>
    <row r="31" spans="1:7" x14ac:dyDescent="0.25">
      <c r="A31" s="570"/>
      <c r="B31" s="378" t="s">
        <v>1082</v>
      </c>
      <c r="C31" s="552">
        <v>213000</v>
      </c>
      <c r="D31" s="576"/>
      <c r="E31" s="576"/>
      <c r="F31" s="552"/>
      <c r="G31" s="296"/>
    </row>
    <row r="32" spans="1:7" x14ac:dyDescent="0.25">
      <c r="A32" s="570"/>
      <c r="B32" s="378" t="s">
        <v>1083</v>
      </c>
      <c r="C32" s="552">
        <v>225000</v>
      </c>
      <c r="D32" s="576"/>
      <c r="E32" s="576"/>
      <c r="F32" s="552"/>
      <c r="G32" s="296"/>
    </row>
    <row r="33" spans="1:7" x14ac:dyDescent="0.25">
      <c r="A33" s="570"/>
      <c r="B33" s="570" t="s">
        <v>1084</v>
      </c>
      <c r="C33" s="576"/>
      <c r="D33" s="576">
        <f>SUM(C34:C35)</f>
        <v>13000</v>
      </c>
      <c r="E33" s="576"/>
      <c r="F33" s="552"/>
      <c r="G33" s="296"/>
    </row>
    <row r="34" spans="1:7" x14ac:dyDescent="0.25">
      <c r="A34" s="570"/>
      <c r="B34" s="378" t="s">
        <v>1085</v>
      </c>
      <c r="C34" s="552">
        <v>8000</v>
      </c>
      <c r="D34" s="576"/>
      <c r="E34" s="576"/>
      <c r="F34" s="552"/>
      <c r="G34" s="296"/>
    </row>
    <row r="35" spans="1:7" x14ac:dyDescent="0.25">
      <c r="A35" s="570"/>
      <c r="B35" s="378" t="s">
        <v>1086</v>
      </c>
      <c r="C35" s="552">
        <v>5000</v>
      </c>
      <c r="D35" s="576"/>
      <c r="E35" s="576"/>
      <c r="F35" s="552"/>
      <c r="G35" s="296"/>
    </row>
    <row r="36" spans="1:7" x14ac:dyDescent="0.25">
      <c r="A36" s="570" t="s">
        <v>462</v>
      </c>
      <c r="B36" s="570" t="s">
        <v>133</v>
      </c>
      <c r="C36" s="576"/>
      <c r="D36" s="576"/>
      <c r="E36" s="576">
        <f>SUM(D37:D40)</f>
        <v>0</v>
      </c>
      <c r="F36" s="552"/>
      <c r="G36" s="296"/>
    </row>
    <row r="37" spans="1:7" x14ac:dyDescent="0.25">
      <c r="A37" s="378"/>
      <c r="B37" s="378" t="s">
        <v>158</v>
      </c>
      <c r="C37" s="552"/>
      <c r="D37" s="552">
        <f>SUM(C38:C40)</f>
        <v>0</v>
      </c>
      <c r="E37" s="552"/>
      <c r="F37" s="552"/>
      <c r="G37" s="296"/>
    </row>
    <row r="38" spans="1:7" x14ac:dyDescent="0.25">
      <c r="A38" s="378"/>
      <c r="B38" s="378" t="s">
        <v>1087</v>
      </c>
      <c r="C38" s="552">
        <v>0</v>
      </c>
      <c r="D38" s="552"/>
      <c r="E38" s="552"/>
      <c r="F38" s="552"/>
      <c r="G38" s="296"/>
    </row>
    <row r="39" spans="1:7" x14ac:dyDescent="0.25">
      <c r="A39" s="378"/>
      <c r="B39" s="378" t="s">
        <v>1088</v>
      </c>
      <c r="C39" s="528">
        <v>0</v>
      </c>
      <c r="D39" s="552"/>
      <c r="E39" s="552"/>
      <c r="F39" s="552"/>
      <c r="G39" s="296"/>
    </row>
    <row r="40" spans="1:7" x14ac:dyDescent="0.25">
      <c r="A40" s="378"/>
      <c r="B40" s="378" t="s">
        <v>1356</v>
      </c>
      <c r="C40" s="529">
        <v>0</v>
      </c>
      <c r="D40" s="552"/>
      <c r="E40" s="552"/>
      <c r="F40" s="552"/>
      <c r="G40" s="296"/>
    </row>
    <row r="41" spans="1:7" x14ac:dyDescent="0.25">
      <c r="A41" s="570" t="s">
        <v>464</v>
      </c>
      <c r="B41" s="570" t="s">
        <v>463</v>
      </c>
      <c r="C41" s="575"/>
      <c r="D41" s="576"/>
      <c r="E41" s="576">
        <f>SUM(D42)</f>
        <v>0</v>
      </c>
      <c r="F41" s="552"/>
      <c r="G41" s="296"/>
    </row>
    <row r="42" spans="1:7" x14ac:dyDescent="0.25">
      <c r="A42" s="570"/>
      <c r="B42" s="570"/>
      <c r="C42" s="575">
        <v>0</v>
      </c>
      <c r="D42" s="552">
        <v>0</v>
      </c>
      <c r="E42" s="576"/>
      <c r="F42" s="552"/>
      <c r="G42" s="296"/>
    </row>
    <row r="43" spans="1:7" x14ac:dyDescent="0.25">
      <c r="A43" s="570" t="s">
        <v>468</v>
      </c>
      <c r="B43" s="570" t="s">
        <v>1440</v>
      </c>
      <c r="C43" s="575"/>
      <c r="D43" s="552"/>
      <c r="E43" s="576">
        <f>SUM(D44)</f>
        <v>1212000</v>
      </c>
      <c r="F43" s="552"/>
      <c r="G43" s="296"/>
    </row>
    <row r="44" spans="1:7" x14ac:dyDescent="0.25">
      <c r="A44" s="570"/>
      <c r="B44" s="294" t="s">
        <v>1441</v>
      </c>
      <c r="C44" s="575"/>
      <c r="D44" s="552">
        <v>1212000</v>
      </c>
      <c r="E44" s="576"/>
      <c r="F44" s="552"/>
      <c r="G44" s="296"/>
    </row>
    <row r="45" spans="1:7" x14ac:dyDescent="0.25">
      <c r="A45" s="570"/>
      <c r="B45" s="570"/>
      <c r="C45" s="575"/>
      <c r="D45" s="552"/>
      <c r="E45" s="576"/>
      <c r="F45" s="552"/>
      <c r="G45" s="296"/>
    </row>
    <row r="46" spans="1:7" x14ac:dyDescent="0.25">
      <c r="A46" s="568" t="s">
        <v>1065</v>
      </c>
      <c r="B46" s="583"/>
      <c r="C46" s="584"/>
      <c r="D46" s="582"/>
      <c r="E46" s="582"/>
      <c r="F46" s="569">
        <f>SUM(E27:E43)</f>
        <v>1833000</v>
      </c>
      <c r="G46" s="296"/>
    </row>
    <row r="47" spans="1:7" x14ac:dyDescent="0.25">
      <c r="A47" s="583" t="s">
        <v>500</v>
      </c>
      <c r="B47" s="583" t="s">
        <v>1357</v>
      </c>
      <c r="C47" s="584"/>
      <c r="D47" s="582"/>
      <c r="E47" s="582">
        <f>SUM(D48)</f>
        <v>4488000</v>
      </c>
      <c r="F47" s="582"/>
      <c r="G47" s="296"/>
    </row>
    <row r="48" spans="1:7" x14ac:dyDescent="0.25">
      <c r="A48" s="583"/>
      <c r="B48" s="583" t="s">
        <v>1430</v>
      </c>
      <c r="C48" s="584"/>
      <c r="D48" s="582">
        <v>4488000</v>
      </c>
      <c r="E48" s="582"/>
      <c r="F48" s="582"/>
      <c r="G48" s="296"/>
    </row>
    <row r="49" spans="1:7" x14ac:dyDescent="0.25">
      <c r="A49" s="583"/>
      <c r="B49" s="583"/>
      <c r="C49" s="584"/>
      <c r="D49" s="582"/>
      <c r="E49" s="582"/>
      <c r="F49" s="582"/>
      <c r="G49" s="296"/>
    </row>
    <row r="50" spans="1:7" x14ac:dyDescent="0.25">
      <c r="A50" s="568" t="s">
        <v>1358</v>
      </c>
      <c r="B50" s="583"/>
      <c r="C50" s="584"/>
      <c r="D50" s="582"/>
      <c r="E50" s="582"/>
      <c r="F50" s="602">
        <f>SUM(E47)</f>
        <v>4488000</v>
      </c>
      <c r="G50" s="296"/>
    </row>
    <row r="51" spans="1:7" ht="15.75" thickBot="1" x14ac:dyDescent="0.3">
      <c r="A51" s="725" t="s">
        <v>1342</v>
      </c>
      <c r="B51" s="725"/>
      <c r="C51" s="584"/>
      <c r="D51" s="582"/>
      <c r="E51" s="582"/>
      <c r="F51" s="601">
        <f>SUM(F46:F50)</f>
        <v>6321000</v>
      </c>
      <c r="G51" s="309"/>
    </row>
    <row r="52" spans="1:7" x14ac:dyDescent="0.25">
      <c r="A52" s="378"/>
      <c r="B52" s="378"/>
      <c r="C52" s="521"/>
      <c r="D52" s="552"/>
      <c r="E52" s="552"/>
      <c r="F52" s="579"/>
      <c r="G52" s="296"/>
    </row>
    <row r="53" spans="1:7" ht="15.75" thickBot="1" x14ac:dyDescent="0.3">
      <c r="A53" s="378"/>
      <c r="B53" s="378"/>
      <c r="C53" s="521"/>
      <c r="D53" s="521"/>
      <c r="E53" s="521"/>
      <c r="F53" s="521"/>
      <c r="G53" s="296"/>
    </row>
    <row r="54" spans="1:7" ht="15.75" thickBot="1" x14ac:dyDescent="0.3">
      <c r="A54" s="750" t="s">
        <v>1089</v>
      </c>
      <c r="B54" s="751"/>
      <c r="C54" s="751"/>
      <c r="D54" s="751"/>
      <c r="E54" s="751"/>
      <c r="F54" s="751"/>
      <c r="G54" s="311"/>
    </row>
    <row r="55" spans="1:7" x14ac:dyDescent="0.25">
      <c r="A55" s="619"/>
      <c r="B55" s="619"/>
      <c r="C55" s="619"/>
      <c r="D55" s="619"/>
      <c r="E55" s="619"/>
      <c r="F55" s="619"/>
      <c r="G55" s="311"/>
    </row>
    <row r="56" spans="1:7" x14ac:dyDescent="0.25">
      <c r="A56" s="304" t="s">
        <v>405</v>
      </c>
      <c r="B56" s="304" t="s">
        <v>1090</v>
      </c>
      <c r="C56" s="305"/>
      <c r="D56" s="328"/>
      <c r="E56" s="328">
        <f>SUM(D57:D63)</f>
        <v>85199700</v>
      </c>
      <c r="F56" s="552"/>
      <c r="G56" s="296"/>
    </row>
    <row r="57" spans="1:7" x14ac:dyDescent="0.25">
      <c r="A57" s="378"/>
      <c r="B57" s="749" t="s">
        <v>1091</v>
      </c>
      <c r="C57" s="749"/>
      <c r="D57" s="552">
        <v>63343280</v>
      </c>
      <c r="E57" s="552"/>
      <c r="F57" s="552"/>
      <c r="G57" s="296"/>
    </row>
    <row r="58" spans="1:7" x14ac:dyDescent="0.25">
      <c r="A58" s="378"/>
      <c r="B58" s="749" t="s">
        <v>1092</v>
      </c>
      <c r="C58" s="749"/>
      <c r="D58" s="552">
        <v>5171400</v>
      </c>
      <c r="E58" s="552"/>
      <c r="F58" s="552"/>
      <c r="G58" s="296"/>
    </row>
    <row r="59" spans="1:7" x14ac:dyDescent="0.25">
      <c r="A59" s="378"/>
      <c r="B59" s="580" t="s">
        <v>1093</v>
      </c>
      <c r="C59" s="580"/>
      <c r="D59" s="552">
        <v>7839000</v>
      </c>
      <c r="E59" s="552"/>
      <c r="F59" s="552"/>
      <c r="G59" s="296"/>
    </row>
    <row r="60" spans="1:7" x14ac:dyDescent="0.25">
      <c r="A60" s="378"/>
      <c r="B60" s="580" t="s">
        <v>1094</v>
      </c>
      <c r="C60" s="580"/>
      <c r="D60" s="552">
        <v>100000</v>
      </c>
      <c r="E60" s="552"/>
      <c r="F60" s="552"/>
      <c r="G60" s="296"/>
    </row>
    <row r="61" spans="1:7" x14ac:dyDescent="0.25">
      <c r="A61" s="378"/>
      <c r="B61" s="580" t="s">
        <v>1095</v>
      </c>
      <c r="C61" s="580"/>
      <c r="D61" s="552">
        <v>3919020</v>
      </c>
      <c r="E61" s="552"/>
      <c r="F61" s="552"/>
      <c r="G61" s="296"/>
    </row>
    <row r="62" spans="1:7" x14ac:dyDescent="0.25">
      <c r="A62" s="378"/>
      <c r="B62" s="580" t="s">
        <v>1096</v>
      </c>
      <c r="C62" s="580"/>
      <c r="D62" s="552">
        <v>4800000</v>
      </c>
      <c r="E62" s="552"/>
      <c r="F62" s="552"/>
      <c r="G62" s="296"/>
    </row>
    <row r="63" spans="1:7" x14ac:dyDescent="0.25">
      <c r="A63" s="378"/>
      <c r="B63" s="580" t="s">
        <v>1097</v>
      </c>
      <c r="C63" s="580"/>
      <c r="D63" s="552">
        <v>27000</v>
      </c>
      <c r="E63" s="552"/>
      <c r="F63" s="552"/>
      <c r="G63" s="296"/>
    </row>
    <row r="64" spans="1:7" x14ac:dyDescent="0.25">
      <c r="A64" s="304" t="s">
        <v>407</v>
      </c>
      <c r="B64" s="304" t="s">
        <v>1098</v>
      </c>
      <c r="C64" s="305"/>
      <c r="D64" s="328"/>
      <c r="E64" s="328">
        <f>SUM(D65:D66)</f>
        <v>0</v>
      </c>
      <c r="F64" s="552"/>
      <c r="G64" s="296"/>
    </row>
    <row r="65" spans="1:7" x14ac:dyDescent="0.25">
      <c r="A65" s="378"/>
      <c r="B65" s="378" t="s">
        <v>1099</v>
      </c>
      <c r="C65" s="521"/>
      <c r="D65" s="552">
        <v>0</v>
      </c>
      <c r="E65" s="552"/>
      <c r="F65" s="552"/>
      <c r="G65" s="296"/>
    </row>
    <row r="66" spans="1:7" x14ac:dyDescent="0.25">
      <c r="A66" s="378"/>
      <c r="B66" s="378" t="s">
        <v>1100</v>
      </c>
      <c r="C66" s="521"/>
      <c r="D66" s="552">
        <v>0</v>
      </c>
      <c r="E66" s="552"/>
      <c r="F66" s="552"/>
      <c r="G66" s="296"/>
    </row>
    <row r="67" spans="1:7" x14ac:dyDescent="0.25">
      <c r="A67" s="304" t="s">
        <v>409</v>
      </c>
      <c r="B67" s="304" t="s">
        <v>1101</v>
      </c>
      <c r="C67" s="305"/>
      <c r="D67" s="328"/>
      <c r="E67" s="328">
        <f>SUM(D68:D70)</f>
        <v>885720</v>
      </c>
      <c r="F67" s="552"/>
      <c r="G67" s="296"/>
    </row>
    <row r="68" spans="1:7" x14ac:dyDescent="0.25">
      <c r="A68" s="378"/>
      <c r="B68" s="378" t="s">
        <v>1102</v>
      </c>
      <c r="C68" s="521"/>
      <c r="D68" s="552">
        <v>0</v>
      </c>
      <c r="E68" s="552"/>
      <c r="F68" s="552"/>
      <c r="G68" s="296"/>
    </row>
    <row r="69" spans="1:7" x14ac:dyDescent="0.25">
      <c r="A69" s="378"/>
      <c r="B69" s="378" t="s">
        <v>1103</v>
      </c>
      <c r="C69" s="521"/>
      <c r="D69" s="552">
        <v>885720</v>
      </c>
      <c r="E69" s="552"/>
      <c r="F69" s="552"/>
      <c r="G69" s="296"/>
    </row>
    <row r="70" spans="1:7" x14ac:dyDescent="0.25">
      <c r="A70" s="378"/>
      <c r="B70" s="378" t="s">
        <v>1104</v>
      </c>
      <c r="C70" s="521"/>
      <c r="D70" s="552">
        <v>0</v>
      </c>
      <c r="E70" s="552"/>
      <c r="F70" s="552"/>
      <c r="G70" s="296"/>
    </row>
    <row r="71" spans="1:7" x14ac:dyDescent="0.25">
      <c r="A71" s="304" t="s">
        <v>411</v>
      </c>
      <c r="B71" s="304" t="s">
        <v>1105</v>
      </c>
      <c r="C71" s="305"/>
      <c r="D71" s="328"/>
      <c r="E71" s="328">
        <v>3049514</v>
      </c>
      <c r="F71" s="552"/>
      <c r="G71" s="296"/>
    </row>
    <row r="72" spans="1:7" x14ac:dyDescent="0.25">
      <c r="A72" s="299" t="s">
        <v>413</v>
      </c>
      <c r="B72" s="299" t="s">
        <v>1106</v>
      </c>
      <c r="C72" s="610"/>
      <c r="D72" s="325"/>
      <c r="E72" s="325">
        <f>SUM(D73)</f>
        <v>3915653</v>
      </c>
      <c r="F72" s="552"/>
      <c r="G72" s="296"/>
    </row>
    <row r="73" spans="1:7" x14ac:dyDescent="0.25">
      <c r="A73" s="299"/>
      <c r="B73" s="669" t="s">
        <v>1389</v>
      </c>
      <c r="C73" s="669"/>
      <c r="D73" s="552">
        <v>3915653</v>
      </c>
      <c r="E73" s="325"/>
      <c r="F73" s="552"/>
      <c r="G73" s="296"/>
    </row>
    <row r="74" spans="1:7" x14ac:dyDescent="0.25">
      <c r="A74" s="299" t="s">
        <v>423</v>
      </c>
      <c r="B74" s="299" t="s">
        <v>1107</v>
      </c>
      <c r="C74" s="621"/>
      <c r="D74" s="622"/>
      <c r="E74" s="325">
        <v>0</v>
      </c>
      <c r="F74" s="552"/>
      <c r="G74" s="296"/>
    </row>
    <row r="75" spans="1:7" x14ac:dyDescent="0.25">
      <c r="A75" s="568" t="s">
        <v>1109</v>
      </c>
      <c r="B75" s="583"/>
      <c r="C75" s="584"/>
      <c r="D75" s="582"/>
      <c r="E75" s="582"/>
      <c r="F75" s="569">
        <f>SUM(E56:E74)</f>
        <v>93050587</v>
      </c>
      <c r="G75" s="296"/>
    </row>
    <row r="76" spans="1:7" x14ac:dyDescent="0.25">
      <c r="A76" s="304" t="s">
        <v>487</v>
      </c>
      <c r="B76" s="304" t="s">
        <v>1110</v>
      </c>
      <c r="C76" s="305"/>
      <c r="D76" s="328"/>
      <c r="E76" s="328">
        <v>0</v>
      </c>
      <c r="F76" s="552"/>
      <c r="G76" s="296"/>
    </row>
    <row r="77" spans="1:7" x14ac:dyDescent="0.25">
      <c r="A77" s="304" t="s">
        <v>495</v>
      </c>
      <c r="B77" s="304" t="s">
        <v>1111</v>
      </c>
      <c r="C77" s="305"/>
      <c r="D77" s="328"/>
      <c r="E77" s="328">
        <v>0</v>
      </c>
      <c r="F77" s="552"/>
      <c r="G77" s="296"/>
    </row>
    <row r="78" spans="1:7" x14ac:dyDescent="0.25">
      <c r="A78" s="568" t="s">
        <v>1112</v>
      </c>
      <c r="B78" s="583"/>
      <c r="C78" s="584"/>
      <c r="D78" s="582"/>
      <c r="E78" s="582"/>
      <c r="F78" s="569">
        <f>SUM(E76:E77)</f>
        <v>0</v>
      </c>
      <c r="G78" s="296"/>
    </row>
    <row r="79" spans="1:7" x14ac:dyDescent="0.25">
      <c r="A79" s="623" t="s">
        <v>547</v>
      </c>
      <c r="B79" s="623" t="s">
        <v>1244</v>
      </c>
      <c r="C79" s="301" t="s">
        <v>1245</v>
      </c>
      <c r="D79" s="624"/>
      <c r="E79" s="625">
        <v>0</v>
      </c>
      <c r="F79" s="582"/>
      <c r="G79" s="296"/>
    </row>
    <row r="80" spans="1:7" ht="15.75" thickBot="1" x14ac:dyDescent="0.3">
      <c r="A80" s="568" t="s">
        <v>1064</v>
      </c>
      <c r="B80" s="583"/>
      <c r="C80" s="584"/>
      <c r="D80" s="582"/>
      <c r="E80" s="582"/>
      <c r="F80" s="569">
        <f>SUM(E79)</f>
        <v>0</v>
      </c>
      <c r="G80" s="296"/>
    </row>
    <row r="81" spans="1:7" ht="15.75" thickBot="1" x14ac:dyDescent="0.3">
      <c r="A81" s="725" t="s">
        <v>1342</v>
      </c>
      <c r="B81" s="725"/>
      <c r="C81" s="584"/>
      <c r="D81" s="584"/>
      <c r="E81" s="584"/>
      <c r="F81" s="613">
        <f>SUM(F75:F78)</f>
        <v>93050587</v>
      </c>
      <c r="G81" s="301"/>
    </row>
    <row r="82" spans="1:7" x14ac:dyDescent="0.25">
      <c r="A82" s="583"/>
      <c r="B82" s="583"/>
      <c r="C82" s="584"/>
      <c r="D82" s="584"/>
      <c r="E82" s="584"/>
      <c r="F82" s="582"/>
      <c r="G82" s="301"/>
    </row>
    <row r="83" spans="1:7" ht="15.75" thickBot="1" x14ac:dyDescent="0.3">
      <c r="A83" s="583"/>
      <c r="B83" s="583"/>
      <c r="C83" s="584"/>
      <c r="D83" s="584"/>
      <c r="E83" s="584"/>
      <c r="F83" s="579"/>
      <c r="G83" s="295"/>
    </row>
    <row r="84" spans="1:7" ht="15.75" thickBot="1" x14ac:dyDescent="0.3">
      <c r="A84" s="750" t="s">
        <v>975</v>
      </c>
      <c r="B84" s="751"/>
      <c r="C84" s="751"/>
      <c r="D84" s="751"/>
      <c r="E84" s="751"/>
      <c r="F84" s="752"/>
      <c r="G84" s="295"/>
    </row>
    <row r="85" spans="1:7" x14ac:dyDescent="0.25">
      <c r="A85" s="648"/>
      <c r="B85" s="648"/>
      <c r="C85" s="648"/>
      <c r="D85" s="648"/>
      <c r="E85" s="648"/>
      <c r="F85" s="648"/>
      <c r="G85" s="295"/>
    </row>
    <row r="86" spans="1:7" x14ac:dyDescent="0.25">
      <c r="A86" s="620"/>
      <c r="B86" s="620"/>
      <c r="C86" s="620"/>
      <c r="D86" s="620"/>
      <c r="E86" s="620"/>
      <c r="F86" s="620"/>
      <c r="G86" s="295"/>
    </row>
    <row r="87" spans="1:7" x14ac:dyDescent="0.25">
      <c r="A87" s="620" t="s">
        <v>427</v>
      </c>
      <c r="B87" s="765" t="s">
        <v>1400</v>
      </c>
      <c r="C87" s="765"/>
      <c r="D87" s="765"/>
      <c r="E87" s="650">
        <f>SUM(D88:D90)</f>
        <v>16253302.155579342</v>
      </c>
      <c r="F87" s="650"/>
      <c r="G87" s="295"/>
    </row>
    <row r="88" spans="1:7" x14ac:dyDescent="0.25">
      <c r="A88" s="620"/>
      <c r="B88" s="766" t="s">
        <v>1401</v>
      </c>
      <c r="C88" s="766"/>
      <c r="D88" s="650">
        <f>SUM('KÖH kiadás'!F85)</f>
        <v>2758361.4423334221</v>
      </c>
      <c r="E88" s="650"/>
      <c r="F88" s="620"/>
      <c r="G88" s="295"/>
    </row>
    <row r="89" spans="1:7" x14ac:dyDescent="0.25">
      <c r="A89" s="620"/>
      <c r="B89" s="766" t="s">
        <v>1402</v>
      </c>
      <c r="C89" s="766"/>
      <c r="D89" s="649">
        <f>SUM('KÖH kiadás'!I85)</f>
        <v>1418001.9045223454</v>
      </c>
      <c r="E89" s="650"/>
      <c r="F89" s="620"/>
      <c r="G89" s="295"/>
    </row>
    <row r="90" spans="1:7" x14ac:dyDescent="0.25">
      <c r="A90" s="620"/>
      <c r="B90" s="766" t="s">
        <v>1403</v>
      </c>
      <c r="C90" s="766"/>
      <c r="D90" s="649">
        <f>SUM('KÖH kiadás'!L85)</f>
        <v>12076938.808723575</v>
      </c>
      <c r="E90" s="650"/>
      <c r="F90" s="620"/>
      <c r="G90" s="295"/>
    </row>
    <row r="91" spans="1:7" x14ac:dyDescent="0.25">
      <c r="A91" s="651" t="s">
        <v>1109</v>
      </c>
      <c r="B91" s="620"/>
      <c r="C91" s="620"/>
      <c r="D91" s="620"/>
      <c r="E91" s="620"/>
      <c r="F91" s="652">
        <f>SUM(E87)</f>
        <v>16253302.155579342</v>
      </c>
      <c r="G91" s="295"/>
    </row>
    <row r="92" spans="1:7" x14ac:dyDescent="0.25">
      <c r="A92" s="567" t="s">
        <v>546</v>
      </c>
      <c r="B92" s="567" t="s">
        <v>1246</v>
      </c>
      <c r="C92" s="520"/>
      <c r="D92" s="520"/>
      <c r="E92" s="559">
        <v>254840111</v>
      </c>
      <c r="F92" s="579"/>
      <c r="G92" s="295"/>
    </row>
    <row r="93" spans="1:7" ht="15.75" thickBot="1" x14ac:dyDescent="0.3">
      <c r="A93" s="585" t="s">
        <v>1064</v>
      </c>
      <c r="B93" s="567"/>
      <c r="C93" s="520"/>
      <c r="D93" s="520"/>
      <c r="E93" s="616"/>
      <c r="F93" s="586">
        <f>SUM(E92)</f>
        <v>254840111</v>
      </c>
      <c r="G93" s="295"/>
    </row>
    <row r="94" spans="1:7" ht="15.75" thickBot="1" x14ac:dyDescent="0.3">
      <c r="A94" s="764" t="s">
        <v>1342</v>
      </c>
      <c r="B94" s="764"/>
      <c r="C94" s="587"/>
      <c r="D94" s="587"/>
      <c r="E94" s="587"/>
      <c r="F94" s="626">
        <f>SUM(F91:F93)</f>
        <v>271093413.15557933</v>
      </c>
      <c r="G94" s="295"/>
    </row>
    <row r="95" spans="1:7" x14ac:dyDescent="0.25">
      <c r="A95" s="587"/>
      <c r="B95" s="587"/>
      <c r="C95" s="587"/>
      <c r="D95" s="587"/>
      <c r="E95" s="587"/>
      <c r="F95" s="588"/>
      <c r="G95" s="295"/>
    </row>
    <row r="96" spans="1:7" ht="15.75" thickBot="1" x14ac:dyDescent="0.3">
      <c r="A96" s="587"/>
      <c r="B96" s="587"/>
      <c r="C96" s="587"/>
      <c r="D96" s="587"/>
      <c r="E96" s="587"/>
      <c r="F96" s="588"/>
      <c r="G96" s="295"/>
    </row>
    <row r="97" spans="1:7" ht="15.75" thickBot="1" x14ac:dyDescent="0.3">
      <c r="A97" s="744" t="s">
        <v>994</v>
      </c>
      <c r="B97" s="745"/>
      <c r="C97" s="745"/>
      <c r="D97" s="745"/>
      <c r="E97" s="745"/>
      <c r="F97" s="746"/>
      <c r="G97" s="295"/>
    </row>
    <row r="98" spans="1:7" x14ac:dyDescent="0.25">
      <c r="A98" s="522"/>
      <c r="B98" s="522"/>
      <c r="C98" s="523"/>
      <c r="D98" s="523"/>
      <c r="E98" s="523"/>
      <c r="F98" s="523"/>
      <c r="G98" s="295"/>
    </row>
    <row r="99" spans="1:7" x14ac:dyDescent="0.25">
      <c r="A99" s="524" t="s">
        <v>427</v>
      </c>
      <c r="B99" s="524" t="s">
        <v>1262</v>
      </c>
      <c r="C99" s="525"/>
      <c r="D99" s="526"/>
      <c r="E99" s="526">
        <f>SUM(D100)</f>
        <v>0</v>
      </c>
      <c r="F99" s="528"/>
      <c r="G99" s="295"/>
    </row>
    <row r="100" spans="1:7" x14ac:dyDescent="0.25">
      <c r="A100" s="524"/>
      <c r="B100" s="759"/>
      <c r="C100" s="759"/>
      <c r="D100" s="528">
        <v>0</v>
      </c>
      <c r="E100" s="526"/>
      <c r="F100" s="528"/>
      <c r="G100" s="295"/>
    </row>
    <row r="101" spans="1:7" ht="15.75" thickBot="1" x14ac:dyDescent="0.3">
      <c r="A101" s="530" t="s">
        <v>889</v>
      </c>
      <c r="B101" s="535"/>
      <c r="C101" s="538"/>
      <c r="D101" s="544"/>
      <c r="E101" s="544"/>
      <c r="F101" s="533">
        <f>SUM(E99:E99)</f>
        <v>0</v>
      </c>
      <c r="G101" s="295"/>
    </row>
    <row r="102" spans="1:7" ht="15.75" thickBot="1" x14ac:dyDescent="0.3">
      <c r="A102" s="724" t="s">
        <v>1342</v>
      </c>
      <c r="B102" s="724"/>
      <c r="C102" s="523"/>
      <c r="D102" s="542"/>
      <c r="E102" s="542"/>
      <c r="F102" s="589">
        <f>SUM(F101)</f>
        <v>0</v>
      </c>
      <c r="G102" s="295"/>
    </row>
    <row r="103" spans="1:7" x14ac:dyDescent="0.25">
      <c r="A103" s="522"/>
      <c r="B103" s="522"/>
      <c r="C103" s="523"/>
      <c r="D103" s="542"/>
      <c r="E103" s="542"/>
      <c r="F103" s="543"/>
      <c r="G103" s="295"/>
    </row>
    <row r="104" spans="1:7" ht="15.75" thickBot="1" x14ac:dyDescent="0.3">
      <c r="A104" s="522"/>
      <c r="B104" s="522"/>
      <c r="C104" s="523"/>
      <c r="D104" s="542"/>
      <c r="E104" s="542"/>
      <c r="F104" s="543"/>
      <c r="G104" s="295"/>
    </row>
    <row r="105" spans="1:7" ht="15.75" thickBot="1" x14ac:dyDescent="0.3">
      <c r="A105" s="750" t="s">
        <v>156</v>
      </c>
      <c r="B105" s="751"/>
      <c r="C105" s="751"/>
      <c r="D105" s="751"/>
      <c r="E105" s="751"/>
      <c r="F105" s="752"/>
      <c r="G105" s="311"/>
    </row>
    <row r="106" spans="1:7" x14ac:dyDescent="0.25">
      <c r="A106" s="583" t="s">
        <v>462</v>
      </c>
      <c r="B106" s="535" t="s">
        <v>164</v>
      </c>
      <c r="C106" s="584"/>
      <c r="D106" s="584"/>
      <c r="E106" s="582">
        <f>SUM(D107)</f>
        <v>1082040</v>
      </c>
      <c r="F106" s="584"/>
      <c r="G106" s="295"/>
    </row>
    <row r="107" spans="1:7" x14ac:dyDescent="0.25">
      <c r="A107" s="583"/>
      <c r="B107" s="583"/>
      <c r="C107" s="584"/>
      <c r="D107" s="581">
        <v>1082040</v>
      </c>
      <c r="E107" s="582"/>
      <c r="F107" s="582"/>
      <c r="G107" s="295"/>
    </row>
    <row r="108" spans="1:7" ht="15.75" thickBot="1" x14ac:dyDescent="0.3">
      <c r="A108" s="568" t="s">
        <v>1065</v>
      </c>
      <c r="B108" s="583"/>
      <c r="C108" s="584"/>
      <c r="D108" s="581"/>
      <c r="E108" s="582"/>
      <c r="F108" s="569">
        <f>SUM(E106)</f>
        <v>1082040</v>
      </c>
      <c r="G108" s="295"/>
    </row>
    <row r="109" spans="1:7" ht="15.75" thickBot="1" x14ac:dyDescent="0.3">
      <c r="A109" s="725" t="s">
        <v>1342</v>
      </c>
      <c r="B109" s="725"/>
      <c r="C109" s="584"/>
      <c r="D109" s="582"/>
      <c r="E109" s="582"/>
      <c r="F109" s="613">
        <f>SUM(F108)</f>
        <v>1082040</v>
      </c>
      <c r="G109" s="301"/>
    </row>
    <row r="110" spans="1:7" x14ac:dyDescent="0.25">
      <c r="A110" s="583"/>
      <c r="B110" s="583"/>
      <c r="C110" s="584"/>
      <c r="D110" s="582"/>
      <c r="E110" s="582"/>
      <c r="F110" s="582"/>
      <c r="G110" s="301"/>
    </row>
    <row r="111" spans="1:7" ht="15.75" thickBot="1" x14ac:dyDescent="0.3">
      <c r="A111" s="583"/>
      <c r="B111" s="583"/>
      <c r="C111" s="584"/>
      <c r="D111" s="584"/>
      <c r="E111" s="584"/>
      <c r="F111" s="584"/>
      <c r="G111" s="295"/>
    </row>
    <row r="112" spans="1:7" ht="15.75" thickBot="1" x14ac:dyDescent="0.3">
      <c r="A112" s="750" t="s">
        <v>1249</v>
      </c>
      <c r="B112" s="751"/>
      <c r="C112" s="751"/>
      <c r="D112" s="751"/>
      <c r="E112" s="751"/>
      <c r="F112" s="752"/>
      <c r="G112" s="295"/>
    </row>
    <row r="113" spans="1:7" ht="15.75" thickBot="1" x14ac:dyDescent="0.3">
      <c r="A113" s="582"/>
      <c r="B113" s="627"/>
      <c r="C113" s="582"/>
      <c r="D113" s="582"/>
      <c r="E113" s="582"/>
      <c r="F113" s="582"/>
      <c r="G113" s="295"/>
    </row>
    <row r="114" spans="1:7" x14ac:dyDescent="0.25">
      <c r="A114" s="582" t="s">
        <v>427</v>
      </c>
      <c r="B114" s="582" t="s">
        <v>1250</v>
      </c>
      <c r="C114" s="582"/>
      <c r="D114" s="582"/>
      <c r="E114" s="582">
        <f>SUM(D115:D116)</f>
        <v>28200424</v>
      </c>
      <c r="F114" s="582"/>
      <c r="G114" s="295"/>
    </row>
    <row r="115" spans="1:7" x14ac:dyDescent="0.25">
      <c r="A115" s="582"/>
      <c r="B115" s="755" t="s">
        <v>1251</v>
      </c>
      <c r="C115" s="755"/>
      <c r="D115" s="581">
        <v>18380724</v>
      </c>
      <c r="E115" s="582"/>
      <c r="F115" s="582"/>
      <c r="G115" s="295"/>
    </row>
    <row r="116" spans="1:7" ht="15.75" thickBot="1" x14ac:dyDescent="0.3">
      <c r="A116" s="582"/>
      <c r="B116" s="556" t="s">
        <v>1252</v>
      </c>
      <c r="C116" s="556"/>
      <c r="D116" s="556">
        <v>9819700</v>
      </c>
      <c r="E116" s="582"/>
      <c r="F116" s="582"/>
      <c r="G116" s="295"/>
    </row>
    <row r="117" spans="1:7" ht="15.75" thickBot="1" x14ac:dyDescent="0.3">
      <c r="A117" s="763" t="s">
        <v>1342</v>
      </c>
      <c r="B117" s="763"/>
      <c r="C117" s="590"/>
      <c r="D117" s="590"/>
      <c r="E117" s="582"/>
      <c r="F117" s="613">
        <f>SUM(E114)</f>
        <v>28200424</v>
      </c>
      <c r="G117" s="295"/>
    </row>
    <row r="118" spans="1:7" x14ac:dyDescent="0.25">
      <c r="A118" s="582"/>
      <c r="B118" s="590"/>
      <c r="C118" s="590"/>
      <c r="D118" s="590"/>
      <c r="E118" s="582"/>
      <c r="F118" s="582"/>
      <c r="G118" s="295"/>
    </row>
    <row r="119" spans="1:7" ht="15.75" thickBot="1" x14ac:dyDescent="0.3">
      <c r="A119" s="582"/>
      <c r="B119" s="590"/>
      <c r="C119" s="590"/>
      <c r="D119" s="590"/>
      <c r="E119" s="582"/>
      <c r="F119" s="582"/>
      <c r="G119" s="295"/>
    </row>
    <row r="120" spans="1:7" ht="15.75" thickBot="1" x14ac:dyDescent="0.3">
      <c r="A120" s="760" t="s">
        <v>1253</v>
      </c>
      <c r="B120" s="761"/>
      <c r="C120" s="761"/>
      <c r="D120" s="761"/>
      <c r="E120" s="761"/>
      <c r="F120" s="762"/>
      <c r="G120" s="295"/>
    </row>
    <row r="121" spans="1:7" x14ac:dyDescent="0.25">
      <c r="A121" s="582"/>
      <c r="B121" s="590"/>
      <c r="C121" s="544"/>
      <c r="D121" s="544"/>
      <c r="E121" s="544"/>
      <c r="F121" s="582"/>
      <c r="G121" s="295"/>
    </row>
    <row r="122" spans="1:7" x14ac:dyDescent="0.25">
      <c r="A122" s="582" t="s">
        <v>427</v>
      </c>
      <c r="B122" s="544" t="s">
        <v>1254</v>
      </c>
      <c r="C122" s="590"/>
      <c r="D122" s="590"/>
      <c r="E122" s="582">
        <f>SUM(D123)</f>
        <v>11773400</v>
      </c>
      <c r="F122" s="582"/>
      <c r="G122" s="295"/>
    </row>
    <row r="123" spans="1:7" ht="15.75" thickBot="1" x14ac:dyDescent="0.3">
      <c r="A123" s="582"/>
      <c r="B123" s="590"/>
      <c r="C123" s="590"/>
      <c r="D123" s="556">
        <v>11773400</v>
      </c>
      <c r="E123" s="582"/>
      <c r="F123" s="582"/>
      <c r="G123" s="295"/>
    </row>
    <row r="124" spans="1:7" ht="15.75" thickBot="1" x14ac:dyDescent="0.3">
      <c r="A124" s="763" t="s">
        <v>1342</v>
      </c>
      <c r="B124" s="763"/>
      <c r="C124" s="590"/>
      <c r="D124" s="590"/>
      <c r="E124" s="582"/>
      <c r="F124" s="613">
        <f>SUM(E122)</f>
        <v>11773400</v>
      </c>
      <c r="G124" s="295"/>
    </row>
    <row r="125" spans="1:7" x14ac:dyDescent="0.25">
      <c r="A125" s="582"/>
      <c r="B125" s="590"/>
      <c r="C125" s="590"/>
      <c r="D125" s="590"/>
      <c r="E125" s="582"/>
      <c r="F125" s="582"/>
      <c r="G125" s="295"/>
    </row>
    <row r="126" spans="1:7" ht="15.75" thickBot="1" x14ac:dyDescent="0.3">
      <c r="A126" s="582"/>
      <c r="B126" s="590"/>
      <c r="C126" s="590"/>
      <c r="D126" s="590"/>
      <c r="E126" s="582"/>
      <c r="F126" s="582"/>
      <c r="G126" s="295"/>
    </row>
    <row r="127" spans="1:7" ht="15.75" thickBot="1" x14ac:dyDescent="0.3">
      <c r="A127" s="756" t="s">
        <v>1255</v>
      </c>
      <c r="B127" s="757"/>
      <c r="C127" s="757"/>
      <c r="D127" s="757"/>
      <c r="E127" s="757"/>
      <c r="F127" s="758"/>
      <c r="G127" s="295"/>
    </row>
    <row r="128" spans="1:7" x14ac:dyDescent="0.25">
      <c r="A128" s="628"/>
      <c r="B128" s="628"/>
      <c r="C128" s="628"/>
      <c r="D128" s="628"/>
      <c r="E128" s="628"/>
      <c r="F128" s="628"/>
      <c r="G128" s="295"/>
    </row>
    <row r="129" spans="1:7" x14ac:dyDescent="0.25">
      <c r="A129" s="582" t="s">
        <v>427</v>
      </c>
      <c r="B129" s="544" t="s">
        <v>1256</v>
      </c>
      <c r="C129" s="544"/>
      <c r="D129" s="544"/>
      <c r="E129" s="582">
        <f>SUM(D130)</f>
        <v>7330302</v>
      </c>
      <c r="F129" s="582"/>
      <c r="G129" s="295"/>
    </row>
    <row r="130" spans="1:7" ht="15.75" thickBot="1" x14ac:dyDescent="0.3">
      <c r="A130" s="582"/>
      <c r="B130" s="556" t="s">
        <v>1042</v>
      </c>
      <c r="C130" s="556"/>
      <c r="D130" s="556">
        <v>7330302</v>
      </c>
      <c r="E130" s="582"/>
      <c r="F130" s="582"/>
      <c r="G130" s="295"/>
    </row>
    <row r="131" spans="1:7" ht="15.75" thickBot="1" x14ac:dyDescent="0.3">
      <c r="A131" s="763" t="s">
        <v>1342</v>
      </c>
      <c r="B131" s="763"/>
      <c r="C131" s="590"/>
      <c r="D131" s="590"/>
      <c r="E131" s="582"/>
      <c r="F131" s="613">
        <f>SUM(E129)</f>
        <v>7330302</v>
      </c>
      <c r="G131" s="295"/>
    </row>
    <row r="132" spans="1:7" x14ac:dyDescent="0.25">
      <c r="A132" s="582"/>
      <c r="B132" s="590"/>
      <c r="C132" s="590"/>
      <c r="D132" s="590"/>
      <c r="E132" s="582"/>
      <c r="F132" s="582"/>
      <c r="G132" s="295"/>
    </row>
    <row r="133" spans="1:7" ht="15.75" thickBot="1" x14ac:dyDescent="0.3">
      <c r="A133" s="583"/>
      <c r="B133" s="591"/>
      <c r="C133" s="592"/>
      <c r="D133" s="592"/>
      <c r="E133" s="584"/>
      <c r="F133" s="584"/>
      <c r="G133" s="295"/>
    </row>
    <row r="134" spans="1:7" ht="15.75" thickBot="1" x14ac:dyDescent="0.3">
      <c r="A134" s="750" t="s">
        <v>1113</v>
      </c>
      <c r="B134" s="751"/>
      <c r="C134" s="751"/>
      <c r="D134" s="751"/>
      <c r="E134" s="751"/>
      <c r="F134" s="752"/>
      <c r="G134" s="303"/>
    </row>
    <row r="135" spans="1:7" x14ac:dyDescent="0.25">
      <c r="A135" s="583"/>
      <c r="B135" s="583"/>
      <c r="C135" s="584"/>
      <c r="D135" s="584"/>
      <c r="E135" s="584"/>
      <c r="F135" s="584"/>
      <c r="G135" s="295"/>
    </row>
    <row r="136" spans="1:7" x14ac:dyDescent="0.25">
      <c r="A136" s="570" t="s">
        <v>441</v>
      </c>
      <c r="B136" s="570" t="s">
        <v>1114</v>
      </c>
      <c r="C136" s="575"/>
      <c r="D136" s="576"/>
      <c r="E136" s="576">
        <f>SUM(D137:D139)</f>
        <v>14400000</v>
      </c>
      <c r="F136" s="576"/>
      <c r="G136" s="296"/>
    </row>
    <row r="137" spans="1:7" x14ac:dyDescent="0.25">
      <c r="A137" s="378"/>
      <c r="B137" s="378" t="s">
        <v>1115</v>
      </c>
      <c r="C137" s="521"/>
      <c r="D137" s="552">
        <v>1400000</v>
      </c>
      <c r="E137" s="552"/>
      <c r="F137" s="552"/>
      <c r="G137" s="296"/>
    </row>
    <row r="138" spans="1:7" x14ac:dyDescent="0.25">
      <c r="A138" s="378"/>
      <c r="B138" s="378" t="s">
        <v>1116</v>
      </c>
      <c r="C138" s="521"/>
      <c r="D138" s="552">
        <v>9000000</v>
      </c>
      <c r="E138" s="552"/>
      <c r="F138" s="552"/>
      <c r="G138" s="296"/>
    </row>
    <row r="139" spans="1:7" x14ac:dyDescent="0.25">
      <c r="A139" s="378"/>
      <c r="B139" s="378" t="s">
        <v>733</v>
      </c>
      <c r="C139" s="521"/>
      <c r="D139" s="552">
        <v>4000000</v>
      </c>
      <c r="E139" s="552"/>
      <c r="F139" s="552"/>
      <c r="G139" s="296"/>
    </row>
    <row r="140" spans="1:7" x14ac:dyDescent="0.25">
      <c r="A140" s="570" t="s">
        <v>443</v>
      </c>
      <c r="B140" s="570" t="s">
        <v>1117</v>
      </c>
      <c r="C140" s="575"/>
      <c r="D140" s="576"/>
      <c r="E140" s="576">
        <f>SUM(D141)</f>
        <v>80000000</v>
      </c>
      <c r="F140" s="552"/>
      <c r="G140" s="296"/>
    </row>
    <row r="141" spans="1:7" x14ac:dyDescent="0.25">
      <c r="A141" s="378"/>
      <c r="B141" s="527" t="s">
        <v>1118</v>
      </c>
      <c r="C141" s="521"/>
      <c r="D141" s="528">
        <v>80000000</v>
      </c>
      <c r="E141" s="552"/>
      <c r="F141" s="552"/>
      <c r="G141" s="296"/>
    </row>
    <row r="142" spans="1:7" x14ac:dyDescent="0.25">
      <c r="A142" s="570" t="s">
        <v>451</v>
      </c>
      <c r="B142" s="570" t="s">
        <v>1119</v>
      </c>
      <c r="C142" s="575"/>
      <c r="D142" s="576"/>
      <c r="E142" s="576">
        <f>SUM(D143:D144)</f>
        <v>500000</v>
      </c>
      <c r="F142" s="552"/>
      <c r="G142" s="296"/>
    </row>
    <row r="143" spans="1:7" x14ac:dyDescent="0.25">
      <c r="A143" s="378"/>
      <c r="B143" s="378" t="s">
        <v>1120</v>
      </c>
      <c r="C143" s="521"/>
      <c r="D143" s="552">
        <v>500000</v>
      </c>
      <c r="E143" s="552"/>
      <c r="F143" s="552"/>
      <c r="G143" s="296"/>
    </row>
    <row r="144" spans="1:7" x14ac:dyDescent="0.25">
      <c r="A144" s="378"/>
      <c r="B144" s="378" t="s">
        <v>1121</v>
      </c>
      <c r="C144" s="521"/>
      <c r="D144" s="552">
        <v>0</v>
      </c>
      <c r="E144" s="552"/>
      <c r="F144" s="552"/>
      <c r="G144" s="296"/>
    </row>
    <row r="145" spans="1:7" x14ac:dyDescent="0.25">
      <c r="A145" s="570" t="s">
        <v>454</v>
      </c>
      <c r="B145" s="570" t="s">
        <v>1122</v>
      </c>
      <c r="C145" s="575"/>
      <c r="D145" s="576"/>
      <c r="E145" s="576">
        <f>SUM(D146:D148)</f>
        <v>1400000</v>
      </c>
      <c r="F145" s="552"/>
      <c r="G145" s="296"/>
    </row>
    <row r="146" spans="1:7" x14ac:dyDescent="0.25">
      <c r="A146" s="570"/>
      <c r="B146" s="378" t="s">
        <v>1258</v>
      </c>
      <c r="C146" s="575"/>
      <c r="D146" s="552">
        <v>700000</v>
      </c>
      <c r="E146" s="576"/>
      <c r="F146" s="552"/>
      <c r="G146" s="296"/>
    </row>
    <row r="147" spans="1:7" x14ac:dyDescent="0.25">
      <c r="A147" s="378"/>
      <c r="B147" s="378" t="s">
        <v>1123</v>
      </c>
      <c r="C147" s="521"/>
      <c r="D147" s="552">
        <v>0</v>
      </c>
      <c r="E147" s="552"/>
      <c r="F147" s="552"/>
      <c r="G147" s="296"/>
    </row>
    <row r="148" spans="1:7" x14ac:dyDescent="0.25">
      <c r="A148" s="378"/>
      <c r="B148" s="378" t="s">
        <v>1124</v>
      </c>
      <c r="C148" s="521"/>
      <c r="D148" s="552">
        <v>700000</v>
      </c>
      <c r="E148" s="552"/>
      <c r="F148" s="552"/>
      <c r="G148" s="296"/>
    </row>
    <row r="149" spans="1:7" ht="15.75" thickBot="1" x14ac:dyDescent="0.3">
      <c r="A149" s="568" t="s">
        <v>1125</v>
      </c>
      <c r="B149" s="583"/>
      <c r="C149" s="584"/>
      <c r="D149" s="582"/>
      <c r="E149" s="582"/>
      <c r="F149" s="569">
        <f>SUM(E136:E145)</f>
        <v>96300000</v>
      </c>
      <c r="G149" s="296"/>
    </row>
    <row r="150" spans="1:7" ht="15.75" thickBot="1" x14ac:dyDescent="0.3">
      <c r="A150" s="725" t="s">
        <v>1342</v>
      </c>
      <c r="B150" s="725"/>
      <c r="C150" s="584"/>
      <c r="D150" s="582"/>
      <c r="E150" s="582"/>
      <c r="F150" s="613">
        <f>SUM(F149)</f>
        <v>96300000</v>
      </c>
      <c r="G150" s="309"/>
    </row>
    <row r="151" spans="1:7" x14ac:dyDescent="0.25">
      <c r="A151" s="570"/>
      <c r="B151" s="570"/>
      <c r="C151" s="575"/>
      <c r="D151" s="575"/>
      <c r="E151" s="575"/>
      <c r="F151" s="521"/>
      <c r="G151" s="296"/>
    </row>
    <row r="152" spans="1:7" ht="15.75" thickBot="1" x14ac:dyDescent="0.3">
      <c r="A152" s="570"/>
      <c r="B152" s="570"/>
      <c r="C152" s="575"/>
      <c r="D152" s="575"/>
      <c r="E152" s="575"/>
      <c r="F152" s="521"/>
      <c r="G152" s="296"/>
    </row>
    <row r="153" spans="1:7" ht="15.75" thickBot="1" x14ac:dyDescent="0.3">
      <c r="A153" s="744" t="s">
        <v>162</v>
      </c>
      <c r="B153" s="745"/>
      <c r="C153" s="745"/>
      <c r="D153" s="745"/>
      <c r="E153" s="745"/>
      <c r="F153" s="746"/>
      <c r="G153" s="296"/>
    </row>
    <row r="154" spans="1:7" x14ac:dyDescent="0.25">
      <c r="A154" s="570"/>
      <c r="B154" s="570"/>
      <c r="C154" s="575"/>
      <c r="D154" s="575"/>
      <c r="E154" s="575"/>
      <c r="F154" s="521"/>
      <c r="G154" s="296"/>
    </row>
    <row r="155" spans="1:7" x14ac:dyDescent="0.25">
      <c r="A155" s="570" t="s">
        <v>427</v>
      </c>
      <c r="B155" s="570" t="s">
        <v>1289</v>
      </c>
      <c r="C155" s="575"/>
      <c r="D155" s="575"/>
      <c r="E155" s="576">
        <f>SUM(D156)</f>
        <v>2760850</v>
      </c>
      <c r="F155" s="521"/>
      <c r="G155" s="296"/>
    </row>
    <row r="156" spans="1:7" ht="15.75" thickBot="1" x14ac:dyDescent="0.3">
      <c r="A156" s="570"/>
      <c r="B156" s="378" t="s">
        <v>1290</v>
      </c>
      <c r="C156" s="575"/>
      <c r="D156" s="552">
        <f>SUM('ÖNK kiadás cofogra'!F230)</f>
        <v>2760850</v>
      </c>
      <c r="E156" s="575"/>
      <c r="F156" s="521"/>
      <c r="G156" s="296"/>
    </row>
    <row r="157" spans="1:7" ht="15.75" thickBot="1" x14ac:dyDescent="0.3">
      <c r="A157" s="725" t="s">
        <v>1342</v>
      </c>
      <c r="B157" s="725"/>
      <c r="C157" s="584"/>
      <c r="D157" s="584"/>
      <c r="E157" s="584"/>
      <c r="F157" s="629">
        <f>SUM(E155)</f>
        <v>2760850</v>
      </c>
      <c r="G157" s="296"/>
    </row>
    <row r="158" spans="1:7" x14ac:dyDescent="0.25">
      <c r="A158" s="570"/>
      <c r="B158" s="570"/>
      <c r="C158" s="575"/>
      <c r="D158" s="575"/>
      <c r="E158" s="575"/>
      <c r="F158" s="521"/>
      <c r="G158" s="296"/>
    </row>
    <row r="159" spans="1:7" ht="15.75" thickBot="1" x14ac:dyDescent="0.3">
      <c r="A159" s="378"/>
      <c r="B159" s="378"/>
      <c r="C159" s="521"/>
      <c r="D159" s="521"/>
      <c r="E159" s="521"/>
      <c r="F159" s="521"/>
      <c r="G159" s="296"/>
    </row>
    <row r="160" spans="1:7" ht="15.75" thickBot="1" x14ac:dyDescent="0.3">
      <c r="A160" s="753" t="s">
        <v>1126</v>
      </c>
      <c r="B160" s="754"/>
      <c r="C160" s="754"/>
      <c r="D160" s="754"/>
      <c r="E160" s="754"/>
      <c r="F160" s="754"/>
      <c r="G160" s="312"/>
    </row>
    <row r="161" spans="1:7" x14ac:dyDescent="0.25">
      <c r="A161" s="630"/>
      <c r="B161" s="630"/>
      <c r="C161" s="630"/>
      <c r="D161" s="630"/>
      <c r="E161" s="630"/>
      <c r="F161" s="630"/>
      <c r="G161" s="312"/>
    </row>
    <row r="162" spans="1:7" x14ac:dyDescent="0.25">
      <c r="A162" s="570" t="s">
        <v>464</v>
      </c>
      <c r="B162" s="524" t="s">
        <v>463</v>
      </c>
      <c r="C162" s="575"/>
      <c r="D162" s="576">
        <v>0</v>
      </c>
      <c r="E162" s="576">
        <f>SUM(D163)</f>
        <v>15000000</v>
      </c>
      <c r="F162" s="552"/>
      <c r="G162" s="296"/>
    </row>
    <row r="163" spans="1:7" x14ac:dyDescent="0.25">
      <c r="A163" s="378"/>
      <c r="B163" s="527" t="s">
        <v>1127</v>
      </c>
      <c r="C163" s="521"/>
      <c r="D163" s="528">
        <v>15000000</v>
      </c>
      <c r="E163" s="552"/>
      <c r="F163" s="552"/>
      <c r="G163" s="296"/>
    </row>
    <row r="164" spans="1:7" x14ac:dyDescent="0.25">
      <c r="A164" s="568" t="s">
        <v>1065</v>
      </c>
      <c r="B164" s="583"/>
      <c r="C164" s="584"/>
      <c r="D164" s="582"/>
      <c r="E164" s="582"/>
      <c r="F164" s="569">
        <f>SUM(E162:E163)</f>
        <v>15000000</v>
      </c>
      <c r="G164" s="296"/>
    </row>
    <row r="165" spans="1:7" x14ac:dyDescent="0.25">
      <c r="A165" s="570" t="s">
        <v>602</v>
      </c>
      <c r="B165" s="570" t="s">
        <v>1128</v>
      </c>
      <c r="C165" s="575"/>
      <c r="D165" s="576"/>
      <c r="E165" s="576">
        <f>SUM(D166)</f>
        <v>500000</v>
      </c>
      <c r="F165" s="552"/>
      <c r="G165" s="296"/>
    </row>
    <row r="166" spans="1:7" x14ac:dyDescent="0.25">
      <c r="A166" s="378"/>
      <c r="B166" s="378" t="s">
        <v>1129</v>
      </c>
      <c r="C166" s="521"/>
      <c r="D166" s="552">
        <v>500000</v>
      </c>
      <c r="E166" s="552"/>
      <c r="F166" s="552"/>
      <c r="G166" s="296"/>
    </row>
    <row r="167" spans="1:7" ht="15.75" thickBot="1" x14ac:dyDescent="0.3">
      <c r="A167" s="568" t="s">
        <v>1130</v>
      </c>
      <c r="B167" s="583"/>
      <c r="C167" s="584"/>
      <c r="D167" s="582"/>
      <c r="E167" s="582"/>
      <c r="F167" s="569">
        <f>SUM(E165:E166)</f>
        <v>500000</v>
      </c>
      <c r="G167" s="296"/>
    </row>
    <row r="168" spans="1:7" ht="15.75" thickBot="1" x14ac:dyDescent="0.3">
      <c r="A168" s="725" t="s">
        <v>1342</v>
      </c>
      <c r="B168" s="725"/>
      <c r="C168" s="584"/>
      <c r="D168" s="582"/>
      <c r="E168" s="582"/>
      <c r="F168" s="593">
        <f>SUM(E162:E167)</f>
        <v>15500000</v>
      </c>
      <c r="G168" s="309"/>
    </row>
    <row r="169" spans="1:7" x14ac:dyDescent="0.25">
      <c r="A169" s="671"/>
      <c r="B169" s="671"/>
      <c r="C169" s="584"/>
      <c r="D169" s="582"/>
      <c r="E169" s="582"/>
      <c r="F169" s="578"/>
      <c r="G169" s="309"/>
    </row>
    <row r="170" spans="1:7" ht="15.75" thickBot="1" x14ac:dyDescent="0.3">
      <c r="A170" s="671"/>
      <c r="B170" s="671"/>
      <c r="C170" s="584"/>
      <c r="D170" s="582"/>
      <c r="E170" s="582"/>
      <c r="F170" s="578"/>
      <c r="G170" s="309"/>
    </row>
    <row r="171" spans="1:7" ht="15.75" thickBot="1" x14ac:dyDescent="0.3">
      <c r="A171" s="750" t="s">
        <v>1437</v>
      </c>
      <c r="B171" s="751"/>
      <c r="C171" s="751"/>
      <c r="D171" s="751"/>
      <c r="E171" s="751"/>
      <c r="F171" s="752"/>
      <c r="G171" s="309"/>
    </row>
    <row r="172" spans="1:7" x14ac:dyDescent="0.25">
      <c r="A172" s="671"/>
      <c r="B172" s="671"/>
      <c r="C172" s="584"/>
      <c r="D172" s="582"/>
      <c r="E172" s="582"/>
      <c r="F172" s="578"/>
      <c r="G172" s="309"/>
    </row>
    <row r="173" spans="1:7" ht="15.75" thickBot="1" x14ac:dyDescent="0.3">
      <c r="A173" s="671" t="s">
        <v>466</v>
      </c>
      <c r="B173" s="769" t="s">
        <v>465</v>
      </c>
      <c r="C173" s="769"/>
      <c r="D173" s="582"/>
      <c r="E173" s="582">
        <v>130000</v>
      </c>
      <c r="F173" s="578"/>
      <c r="G173" s="309"/>
    </row>
    <row r="174" spans="1:7" ht="15.75" thickBot="1" x14ac:dyDescent="0.3">
      <c r="A174" s="725" t="s">
        <v>1342</v>
      </c>
      <c r="B174" s="725"/>
      <c r="C174" s="584"/>
      <c r="D174" s="582"/>
      <c r="E174" s="582"/>
      <c r="F174" s="613">
        <f>SUM(E173)</f>
        <v>130000</v>
      </c>
      <c r="G174" s="309"/>
    </row>
    <row r="175" spans="1:7" ht="15.75" thickBot="1" x14ac:dyDescent="0.3">
      <c r="A175" s="378"/>
      <c r="B175" s="378"/>
      <c r="C175" s="521"/>
      <c r="D175" s="552"/>
      <c r="E175" s="552"/>
      <c r="F175" s="552"/>
      <c r="G175" s="296"/>
    </row>
    <row r="176" spans="1:7" ht="15.75" thickBot="1" x14ac:dyDescent="0.3">
      <c r="A176" s="725" t="s">
        <v>1386</v>
      </c>
      <c r="B176" s="725"/>
      <c r="C176" s="725"/>
      <c r="D176" s="582"/>
      <c r="E176" s="582"/>
      <c r="F176" s="613">
        <f>SUM(F12+F20+F51+F81+F94+F102+F109+F117+F124+F131+F150+F157+F168+F174)</f>
        <v>536214016.15557933</v>
      </c>
      <c r="G176" s="296"/>
    </row>
    <row r="177" spans="1:7" x14ac:dyDescent="0.25">
      <c r="A177" s="378"/>
      <c r="B177" s="378"/>
      <c r="C177" s="521"/>
      <c r="D177" s="552"/>
      <c r="E177" s="552"/>
      <c r="F177" s="552"/>
      <c r="G177" s="296"/>
    </row>
    <row r="178" spans="1:7" ht="15.75" thickBot="1" x14ac:dyDescent="0.3">
      <c r="A178" s="378"/>
      <c r="B178" s="378"/>
      <c r="C178" s="521"/>
      <c r="D178" s="521"/>
      <c r="E178" s="521"/>
      <c r="F178" s="521"/>
      <c r="G178" s="296"/>
    </row>
    <row r="179" spans="1:7" ht="15.75" thickBot="1" x14ac:dyDescent="0.3">
      <c r="A179" s="767" t="s">
        <v>814</v>
      </c>
      <c r="B179" s="768"/>
      <c r="C179" s="768"/>
      <c r="D179" s="768"/>
      <c r="E179" s="768"/>
      <c r="F179" s="751"/>
    </row>
    <row r="180" spans="1:7" x14ac:dyDescent="0.25">
      <c r="A180" s="631" t="s">
        <v>405</v>
      </c>
      <c r="B180" s="632" t="s">
        <v>1090</v>
      </c>
      <c r="C180" s="633"/>
      <c r="D180" s="634"/>
      <c r="E180" s="635">
        <f>SUM(D181:D188)</f>
        <v>85199700</v>
      </c>
      <c r="F180" s="552"/>
    </row>
    <row r="181" spans="1:7" x14ac:dyDescent="0.25">
      <c r="A181" s="378"/>
      <c r="B181" s="749" t="s">
        <v>1091</v>
      </c>
      <c r="C181" s="749"/>
      <c r="D181" s="528">
        <f t="shared" ref="D181:D187" si="0">SUM(D57)</f>
        <v>63343280</v>
      </c>
      <c r="E181" s="542"/>
      <c r="F181" s="552"/>
    </row>
    <row r="182" spans="1:7" x14ac:dyDescent="0.25">
      <c r="A182" s="378"/>
      <c r="B182" s="749" t="s">
        <v>1092</v>
      </c>
      <c r="C182" s="749"/>
      <c r="D182" s="528">
        <f t="shared" si="0"/>
        <v>5171400</v>
      </c>
      <c r="E182" s="542"/>
      <c r="F182" s="552"/>
    </row>
    <row r="183" spans="1:7" x14ac:dyDescent="0.25">
      <c r="A183" s="378"/>
      <c r="B183" s="580" t="s">
        <v>1093</v>
      </c>
      <c r="C183" s="580"/>
      <c r="D183" s="528">
        <f t="shared" si="0"/>
        <v>7839000</v>
      </c>
      <c r="E183" s="542"/>
      <c r="F183" s="552"/>
    </row>
    <row r="184" spans="1:7" x14ac:dyDescent="0.25">
      <c r="A184" s="378"/>
      <c r="B184" s="580" t="s">
        <v>1094</v>
      </c>
      <c r="C184" s="580"/>
      <c r="D184" s="528">
        <f t="shared" si="0"/>
        <v>100000</v>
      </c>
      <c r="E184" s="542"/>
      <c r="F184" s="552"/>
    </row>
    <row r="185" spans="1:7" x14ac:dyDescent="0.25">
      <c r="A185" s="378"/>
      <c r="B185" s="580" t="s">
        <v>1095</v>
      </c>
      <c r="C185" s="580"/>
      <c r="D185" s="528">
        <f t="shared" si="0"/>
        <v>3919020</v>
      </c>
      <c r="E185" s="542"/>
      <c r="F185" s="552"/>
    </row>
    <row r="186" spans="1:7" x14ac:dyDescent="0.25">
      <c r="A186" s="378"/>
      <c r="B186" s="580" t="s">
        <v>1096</v>
      </c>
      <c r="C186" s="580"/>
      <c r="D186" s="528">
        <f t="shared" si="0"/>
        <v>4800000</v>
      </c>
      <c r="E186" s="542"/>
      <c r="F186" s="552"/>
    </row>
    <row r="187" spans="1:7" x14ac:dyDescent="0.25">
      <c r="A187" s="378"/>
      <c r="B187" s="580" t="s">
        <v>1097</v>
      </c>
      <c r="C187" s="580"/>
      <c r="D187" s="528">
        <f t="shared" si="0"/>
        <v>27000</v>
      </c>
      <c r="E187" s="542"/>
      <c r="F187" s="552"/>
    </row>
    <row r="188" spans="1:7" x14ac:dyDescent="0.25">
      <c r="A188" s="378"/>
      <c r="B188" s="612" t="s">
        <v>1398</v>
      </c>
      <c r="C188" s="612"/>
      <c r="D188" s="528">
        <v>0</v>
      </c>
      <c r="E188" s="542"/>
      <c r="F188" s="552"/>
    </row>
    <row r="189" spans="1:7" x14ac:dyDescent="0.25">
      <c r="A189" s="632" t="s">
        <v>407</v>
      </c>
      <c r="B189" s="632" t="s">
        <v>1098</v>
      </c>
      <c r="C189" s="636"/>
      <c r="D189" s="637"/>
      <c r="E189" s="638">
        <f>SUM(D190:D191)</f>
        <v>0</v>
      </c>
      <c r="F189" s="552"/>
    </row>
    <row r="190" spans="1:7" x14ac:dyDescent="0.25">
      <c r="A190" s="378"/>
      <c r="B190" s="378" t="s">
        <v>1099</v>
      </c>
      <c r="C190" s="521"/>
      <c r="D190" s="528">
        <f>SUM(D65)</f>
        <v>0</v>
      </c>
      <c r="E190" s="542"/>
      <c r="F190" s="552"/>
    </row>
    <row r="191" spans="1:7" x14ac:dyDescent="0.25">
      <c r="A191" s="378"/>
      <c r="B191" s="378" t="s">
        <v>1100</v>
      </c>
      <c r="C191" s="521"/>
      <c r="D191" s="528">
        <f>SUM(D66)</f>
        <v>0</v>
      </c>
      <c r="E191" s="542"/>
      <c r="F191" s="552"/>
    </row>
    <row r="192" spans="1:7" x14ac:dyDescent="0.25">
      <c r="A192" s="304" t="s">
        <v>409</v>
      </c>
      <c r="B192" s="304" t="s">
        <v>1101</v>
      </c>
      <c r="C192" s="305"/>
      <c r="D192" s="639"/>
      <c r="E192" s="325">
        <f>SUM(D193:D195)</f>
        <v>885720</v>
      </c>
      <c r="F192" s="552"/>
    </row>
    <row r="193" spans="1:6" x14ac:dyDescent="0.25">
      <c r="A193" s="378"/>
      <c r="B193" s="378" t="s">
        <v>1102</v>
      </c>
      <c r="C193" s="521"/>
      <c r="D193" s="528">
        <f>SUM(D68)</f>
        <v>0</v>
      </c>
      <c r="E193" s="542"/>
      <c r="F193" s="552"/>
    </row>
    <row r="194" spans="1:6" x14ac:dyDescent="0.25">
      <c r="A194" s="378"/>
      <c r="B194" s="378" t="s">
        <v>1103</v>
      </c>
      <c r="C194" s="521"/>
      <c r="D194" s="528">
        <f>SUM(D69)</f>
        <v>885720</v>
      </c>
      <c r="E194" s="542"/>
      <c r="F194" s="552"/>
    </row>
    <row r="195" spans="1:6" x14ac:dyDescent="0.25">
      <c r="A195" s="378"/>
      <c r="B195" s="378" t="s">
        <v>1104</v>
      </c>
      <c r="C195" s="521"/>
      <c r="D195" s="528">
        <f>SUM(D70)</f>
        <v>0</v>
      </c>
      <c r="E195" s="542"/>
      <c r="F195" s="552"/>
    </row>
    <row r="196" spans="1:6" x14ac:dyDescent="0.25">
      <c r="A196" s="304" t="s">
        <v>411</v>
      </c>
      <c r="B196" s="304" t="s">
        <v>1105</v>
      </c>
      <c r="C196" s="305"/>
      <c r="D196" s="325">
        <f>SUM(E71)</f>
        <v>3049514</v>
      </c>
      <c r="E196" s="325">
        <f>SUM(D196)</f>
        <v>3049514</v>
      </c>
      <c r="F196" s="552"/>
    </row>
    <row r="197" spans="1:6" x14ac:dyDescent="0.25">
      <c r="A197" s="299" t="s">
        <v>413</v>
      </c>
      <c r="B197" s="299" t="s">
        <v>1106</v>
      </c>
      <c r="C197" s="610"/>
      <c r="D197" s="325">
        <f>SUM(E72)</f>
        <v>3915653</v>
      </c>
      <c r="E197" s="325">
        <f>SUM(D197)</f>
        <v>3915653</v>
      </c>
      <c r="F197" s="552"/>
    </row>
    <row r="198" spans="1:6" x14ac:dyDescent="0.25">
      <c r="A198" s="299" t="s">
        <v>423</v>
      </c>
      <c r="B198" s="299" t="s">
        <v>1107</v>
      </c>
      <c r="C198" s="610"/>
      <c r="D198" s="639"/>
      <c r="E198" s="325">
        <f>SUM(E74)</f>
        <v>0</v>
      </c>
      <c r="F198" s="552"/>
    </row>
    <row r="199" spans="1:6" x14ac:dyDescent="0.25">
      <c r="A199" s="299" t="s">
        <v>427</v>
      </c>
      <c r="B199" s="299" t="s">
        <v>1108</v>
      </c>
      <c r="C199" s="610"/>
      <c r="D199" s="325"/>
      <c r="E199" s="325">
        <f>SUM(E87+E99+E114+E122+E129+E155)</f>
        <v>66318278.155579343</v>
      </c>
      <c r="F199" s="552"/>
    </row>
    <row r="200" spans="1:6" x14ac:dyDescent="0.25">
      <c r="A200" s="568" t="s">
        <v>1109</v>
      </c>
      <c r="B200" s="583"/>
      <c r="C200" s="584"/>
      <c r="D200" s="555"/>
      <c r="E200" s="555"/>
      <c r="F200" s="569">
        <f>SUM(E180:E199)</f>
        <v>159368865.15557933</v>
      </c>
    </row>
    <row r="201" spans="1:6" x14ac:dyDescent="0.25">
      <c r="A201" s="378" t="s">
        <v>487</v>
      </c>
      <c r="B201" s="378" t="s">
        <v>1110</v>
      </c>
      <c r="C201" s="521"/>
      <c r="D201" s="542"/>
      <c r="E201" s="528">
        <f>SUM(E76)</f>
        <v>0</v>
      </c>
      <c r="F201" s="552"/>
    </row>
    <row r="202" spans="1:6" x14ac:dyDescent="0.25">
      <c r="A202" s="378" t="s">
        <v>495</v>
      </c>
      <c r="B202" s="378" t="s">
        <v>1111</v>
      </c>
      <c r="C202" s="521"/>
      <c r="D202" s="542"/>
      <c r="E202" s="528">
        <f>SUM(E77)</f>
        <v>0</v>
      </c>
      <c r="F202" s="552"/>
    </row>
    <row r="203" spans="1:6" x14ac:dyDescent="0.25">
      <c r="A203" s="568" t="s">
        <v>1112</v>
      </c>
      <c r="B203" s="583"/>
      <c r="C203" s="584"/>
      <c r="D203" s="555"/>
      <c r="E203" s="555"/>
      <c r="F203" s="569">
        <f>SUM(E201:E202)</f>
        <v>0</v>
      </c>
    </row>
    <row r="204" spans="1:6" x14ac:dyDescent="0.25">
      <c r="A204" s="570" t="s">
        <v>441</v>
      </c>
      <c r="B204" s="570" t="s">
        <v>1114</v>
      </c>
      <c r="C204" s="575"/>
      <c r="D204" s="553"/>
      <c r="E204" s="526">
        <f>SUM(D205:D207)</f>
        <v>14400000</v>
      </c>
      <c r="F204" s="576"/>
    </row>
    <row r="205" spans="1:6" x14ac:dyDescent="0.25">
      <c r="A205" s="378"/>
      <c r="B205" s="378" t="s">
        <v>1115</v>
      </c>
      <c r="C205" s="521"/>
      <c r="D205" s="528">
        <f>SUM(D137)</f>
        <v>1400000</v>
      </c>
      <c r="E205" s="542"/>
      <c r="F205" s="552"/>
    </row>
    <row r="206" spans="1:6" x14ac:dyDescent="0.25">
      <c r="A206" s="378"/>
      <c r="B206" s="378" t="s">
        <v>1116</v>
      </c>
      <c r="C206" s="521"/>
      <c r="D206" s="528">
        <f>SUM(D138)</f>
        <v>9000000</v>
      </c>
      <c r="E206" s="542"/>
      <c r="F206" s="552"/>
    </row>
    <row r="207" spans="1:6" x14ac:dyDescent="0.25">
      <c r="A207" s="378"/>
      <c r="B207" s="378" t="s">
        <v>733</v>
      </c>
      <c r="C207" s="521"/>
      <c r="D207" s="528">
        <f>SUM(D139)</f>
        <v>4000000</v>
      </c>
      <c r="E207" s="542"/>
      <c r="F207" s="552"/>
    </row>
    <row r="208" spans="1:6" x14ac:dyDescent="0.25">
      <c r="A208" s="570" t="s">
        <v>443</v>
      </c>
      <c r="B208" s="570" t="s">
        <v>1117</v>
      </c>
      <c r="C208" s="575"/>
      <c r="D208" s="526"/>
      <c r="E208" s="526">
        <f>SUM(D209)</f>
        <v>80000000</v>
      </c>
      <c r="F208" s="552"/>
    </row>
    <row r="209" spans="1:6" x14ac:dyDescent="0.25">
      <c r="A209" s="378"/>
      <c r="B209" s="527" t="s">
        <v>1118</v>
      </c>
      <c r="C209" s="521"/>
      <c r="D209" s="528">
        <f>SUM(D141)</f>
        <v>80000000</v>
      </c>
      <c r="E209" s="528"/>
      <c r="F209" s="552"/>
    </row>
    <row r="210" spans="1:6" x14ac:dyDescent="0.25">
      <c r="A210" s="570" t="s">
        <v>451</v>
      </c>
      <c r="B210" s="570" t="s">
        <v>1119</v>
      </c>
      <c r="C210" s="575"/>
      <c r="D210" s="526"/>
      <c r="E210" s="526">
        <f>SUM(D211:D212)</f>
        <v>500000</v>
      </c>
      <c r="F210" s="552"/>
    </row>
    <row r="211" spans="1:6" x14ac:dyDescent="0.25">
      <c r="A211" s="378"/>
      <c r="B211" s="378" t="s">
        <v>1120</v>
      </c>
      <c r="C211" s="521"/>
      <c r="D211" s="528">
        <f>SUM(D143)</f>
        <v>500000</v>
      </c>
      <c r="E211" s="528"/>
      <c r="F211" s="552"/>
    </row>
    <row r="212" spans="1:6" x14ac:dyDescent="0.25">
      <c r="A212" s="378"/>
      <c r="B212" s="378" t="s">
        <v>1121</v>
      </c>
      <c r="C212" s="521"/>
      <c r="D212" s="528">
        <f>SUM(D144)</f>
        <v>0</v>
      </c>
      <c r="E212" s="528"/>
      <c r="F212" s="552"/>
    </row>
    <row r="213" spans="1:6" x14ac:dyDescent="0.25">
      <c r="A213" s="570" t="s">
        <v>454</v>
      </c>
      <c r="B213" s="570" t="s">
        <v>1122</v>
      </c>
      <c r="C213" s="575"/>
      <c r="D213" s="526"/>
      <c r="E213" s="526">
        <f>SUM(D214:D216)</f>
        <v>1400000</v>
      </c>
      <c r="F213" s="552"/>
    </row>
    <row r="214" spans="1:6" x14ac:dyDescent="0.25">
      <c r="A214" s="570"/>
      <c r="B214" s="378" t="s">
        <v>1258</v>
      </c>
      <c r="C214" s="575"/>
      <c r="D214" s="528">
        <f>SUM(D146)</f>
        <v>700000</v>
      </c>
      <c r="E214" s="526"/>
      <c r="F214" s="552"/>
    </row>
    <row r="215" spans="1:6" x14ac:dyDescent="0.25">
      <c r="A215" s="378"/>
      <c r="B215" s="378" t="s">
        <v>1123</v>
      </c>
      <c r="C215" s="521"/>
      <c r="D215" s="528">
        <f>SUM(D147)</f>
        <v>0</v>
      </c>
      <c r="E215" s="528"/>
      <c r="F215" s="552"/>
    </row>
    <row r="216" spans="1:6" x14ac:dyDescent="0.25">
      <c r="A216" s="378"/>
      <c r="B216" s="378" t="s">
        <v>1124</v>
      </c>
      <c r="C216" s="521"/>
      <c r="D216" s="528">
        <f>SUM(D148)</f>
        <v>700000</v>
      </c>
      <c r="E216" s="528"/>
      <c r="F216" s="552"/>
    </row>
    <row r="217" spans="1:6" x14ac:dyDescent="0.25">
      <c r="A217" s="568" t="s">
        <v>1125</v>
      </c>
      <c r="B217" s="583"/>
      <c r="C217" s="584"/>
      <c r="D217" s="555"/>
      <c r="E217" s="555"/>
      <c r="F217" s="569">
        <f>SUM(E204:E213)</f>
        <v>96300000</v>
      </c>
    </row>
    <row r="218" spans="1:6" x14ac:dyDescent="0.25">
      <c r="A218" s="378" t="s">
        <v>460</v>
      </c>
      <c r="B218" s="378" t="s">
        <v>459</v>
      </c>
      <c r="C218" s="521"/>
      <c r="D218" s="542"/>
      <c r="E218" s="528">
        <f>SUM(E4+E17+E27)</f>
        <v>686000</v>
      </c>
      <c r="F218" s="552"/>
    </row>
    <row r="219" spans="1:6" x14ac:dyDescent="0.25">
      <c r="A219" s="378" t="s">
        <v>462</v>
      </c>
      <c r="B219" s="378" t="s">
        <v>133</v>
      </c>
      <c r="C219" s="521"/>
      <c r="D219" s="542"/>
      <c r="E219" s="528">
        <f>SUM(E6+E36+E106)</f>
        <v>3683040</v>
      </c>
      <c r="F219" s="552"/>
    </row>
    <row r="220" spans="1:6" x14ac:dyDescent="0.25">
      <c r="A220" s="378" t="s">
        <v>464</v>
      </c>
      <c r="B220" s="378" t="s">
        <v>463</v>
      </c>
      <c r="C220" s="521"/>
      <c r="D220" s="542"/>
      <c r="E220" s="528">
        <f>SUM(E41+E162)</f>
        <v>15000000</v>
      </c>
      <c r="F220" s="552"/>
    </row>
    <row r="221" spans="1:6" x14ac:dyDescent="0.25">
      <c r="A221" s="378" t="s">
        <v>466</v>
      </c>
      <c r="B221" s="378" t="s">
        <v>465</v>
      </c>
      <c r="C221" s="521"/>
      <c r="D221" s="542"/>
      <c r="E221" s="528">
        <f>SUM(F174)</f>
        <v>130000</v>
      </c>
      <c r="F221" s="552"/>
    </row>
    <row r="222" spans="1:6" x14ac:dyDescent="0.25">
      <c r="A222" s="378" t="s">
        <v>468</v>
      </c>
      <c r="B222" s="378" t="s">
        <v>1440</v>
      </c>
      <c r="C222" s="521"/>
      <c r="D222" s="542"/>
      <c r="E222" s="528">
        <f>SUM(E43)</f>
        <v>1212000</v>
      </c>
      <c r="F222" s="552"/>
    </row>
    <row r="223" spans="1:6" x14ac:dyDescent="0.25">
      <c r="A223" s="378" t="s">
        <v>471</v>
      </c>
      <c r="B223" s="378" t="s">
        <v>1075</v>
      </c>
      <c r="C223" s="521"/>
      <c r="D223" s="542"/>
      <c r="E223" s="528">
        <f>SUM(E8)</f>
        <v>1000</v>
      </c>
      <c r="F223" s="552"/>
    </row>
    <row r="224" spans="1:6" x14ac:dyDescent="0.25">
      <c r="A224" s="378" t="s">
        <v>873</v>
      </c>
      <c r="B224" s="378" t="s">
        <v>474</v>
      </c>
      <c r="C224" s="521"/>
      <c r="D224" s="542"/>
      <c r="E224" s="528">
        <f>SUM(E9)</f>
        <v>5000</v>
      </c>
      <c r="F224" s="552"/>
    </row>
    <row r="225" spans="1:6" x14ac:dyDescent="0.25">
      <c r="A225" s="568" t="s">
        <v>1065</v>
      </c>
      <c r="B225" s="583"/>
      <c r="C225" s="584"/>
      <c r="D225" s="555"/>
      <c r="E225" s="555"/>
      <c r="F225" s="569">
        <f>SUM(E218:E224)</f>
        <v>20717040</v>
      </c>
    </row>
    <row r="226" spans="1:6" x14ac:dyDescent="0.25">
      <c r="A226" s="568" t="s">
        <v>500</v>
      </c>
      <c r="B226" s="583" t="s">
        <v>1357</v>
      </c>
      <c r="C226" s="584"/>
      <c r="D226" s="555"/>
      <c r="E226" s="597">
        <f>SUM(E47)</f>
        <v>4488000</v>
      </c>
      <c r="F226" s="582"/>
    </row>
    <row r="227" spans="1:6" x14ac:dyDescent="0.25">
      <c r="A227" s="583" t="s">
        <v>1385</v>
      </c>
      <c r="B227" s="618"/>
      <c r="C227" s="295"/>
      <c r="D227" s="597"/>
      <c r="E227" s="555"/>
      <c r="F227" s="569">
        <f>SUM(E226)</f>
        <v>4488000</v>
      </c>
    </row>
    <row r="228" spans="1:6" x14ac:dyDescent="0.25">
      <c r="A228" s="304" t="s">
        <v>602</v>
      </c>
      <c r="B228" s="304" t="s">
        <v>1128</v>
      </c>
      <c r="C228" s="305"/>
      <c r="D228" s="325"/>
      <c r="E228" s="325">
        <f>SUM(D229)</f>
        <v>500000</v>
      </c>
      <c r="F228" s="552"/>
    </row>
    <row r="229" spans="1:6" x14ac:dyDescent="0.25">
      <c r="A229" s="378"/>
      <c r="B229" s="378" t="s">
        <v>1129</v>
      </c>
      <c r="C229" s="521"/>
      <c r="D229" s="528">
        <f>SUM(E165)</f>
        <v>500000</v>
      </c>
      <c r="E229" s="528"/>
      <c r="F229" s="552"/>
    </row>
    <row r="230" spans="1:6" x14ac:dyDescent="0.25">
      <c r="A230" s="568" t="s">
        <v>1130</v>
      </c>
      <c r="B230" s="583"/>
      <c r="C230" s="584"/>
      <c r="D230" s="555"/>
      <c r="E230" s="555"/>
      <c r="F230" s="569">
        <f>SUM(E228:E229)</f>
        <v>500000</v>
      </c>
    </row>
    <row r="231" spans="1:6" x14ac:dyDescent="0.25">
      <c r="A231" s="583" t="s">
        <v>540</v>
      </c>
      <c r="B231" s="583" t="s">
        <v>1214</v>
      </c>
      <c r="C231" s="584"/>
      <c r="D231" s="555"/>
      <c r="E231" s="555"/>
      <c r="F231" s="582"/>
    </row>
    <row r="232" spans="1:6" x14ac:dyDescent="0.25">
      <c r="A232" s="583"/>
      <c r="B232" s="583"/>
      <c r="C232" s="584"/>
      <c r="D232" s="555"/>
      <c r="E232" s="590">
        <f>SUM(E92)</f>
        <v>254840111</v>
      </c>
      <c r="F232" s="582"/>
    </row>
    <row r="233" spans="1:6" ht="15.75" thickBot="1" x14ac:dyDescent="0.3">
      <c r="A233" s="568" t="s">
        <v>1215</v>
      </c>
      <c r="B233" s="583"/>
      <c r="C233" s="584"/>
      <c r="D233" s="555"/>
      <c r="E233" s="555"/>
      <c r="F233" s="569">
        <f>SUM(E232)</f>
        <v>254840111</v>
      </c>
    </row>
    <row r="234" spans="1:6" ht="15.75" thickBot="1" x14ac:dyDescent="0.3">
      <c r="A234" s="725" t="s">
        <v>2</v>
      </c>
      <c r="B234" s="725"/>
      <c r="C234" s="584"/>
      <c r="D234" s="582"/>
      <c r="E234" s="582"/>
      <c r="F234" s="613">
        <f>SUM(F200:F233)</f>
        <v>536214016.15557933</v>
      </c>
    </row>
    <row r="235" spans="1:6" x14ac:dyDescent="0.25">
      <c r="A235" s="378"/>
      <c r="B235" s="378"/>
      <c r="C235" s="521"/>
      <c r="D235" s="552"/>
      <c r="E235" s="552"/>
      <c r="F235" s="552"/>
    </row>
    <row r="236" spans="1:6" x14ac:dyDescent="0.25">
      <c r="A236" s="378"/>
      <c r="B236" s="378"/>
      <c r="C236" s="521"/>
      <c r="D236" s="521"/>
      <c r="E236" s="521"/>
      <c r="F236" s="558">
        <f>SUM(F176)</f>
        <v>536214016.15557933</v>
      </c>
    </row>
    <row r="237" spans="1:6" x14ac:dyDescent="0.25">
      <c r="A237" s="378"/>
      <c r="B237" s="378"/>
      <c r="C237" s="521"/>
      <c r="D237" s="521"/>
      <c r="E237" s="521"/>
      <c r="F237" s="521"/>
    </row>
    <row r="238" spans="1:6" x14ac:dyDescent="0.25">
      <c r="A238" s="378"/>
      <c r="B238" s="378"/>
      <c r="C238" s="378"/>
      <c r="D238" s="378"/>
      <c r="E238" s="378"/>
      <c r="F238" s="552">
        <f>SUM(F234-F236)</f>
        <v>0</v>
      </c>
    </row>
    <row r="239" spans="1:6" x14ac:dyDescent="0.25">
      <c r="F239" s="343"/>
    </row>
  </sheetData>
  <mergeCells count="42">
    <mergeCell ref="A168:B168"/>
    <mergeCell ref="A176:C176"/>
    <mergeCell ref="A234:B234"/>
    <mergeCell ref="B182:C182"/>
    <mergeCell ref="A179:F179"/>
    <mergeCell ref="B181:C181"/>
    <mergeCell ref="A171:F171"/>
    <mergeCell ref="B173:C173"/>
    <mergeCell ref="A174:B174"/>
    <mergeCell ref="A81:B81"/>
    <mergeCell ref="A94:B94"/>
    <mergeCell ref="A102:B102"/>
    <mergeCell ref="A109:B109"/>
    <mergeCell ref="A117:B117"/>
    <mergeCell ref="B87:D87"/>
    <mergeCell ref="B88:C88"/>
    <mergeCell ref="B89:C89"/>
    <mergeCell ref="B90:C90"/>
    <mergeCell ref="A84:F84"/>
    <mergeCell ref="A112:F112"/>
    <mergeCell ref="A105:F105"/>
    <mergeCell ref="A134:F134"/>
    <mergeCell ref="A160:F160"/>
    <mergeCell ref="B115:C115"/>
    <mergeCell ref="A127:F127"/>
    <mergeCell ref="A97:F97"/>
    <mergeCell ref="B100:C100"/>
    <mergeCell ref="A153:F153"/>
    <mergeCell ref="A120:F120"/>
    <mergeCell ref="A124:B124"/>
    <mergeCell ref="A131:B131"/>
    <mergeCell ref="A150:B150"/>
    <mergeCell ref="A157:B157"/>
    <mergeCell ref="B58:C58"/>
    <mergeCell ref="A2:F2"/>
    <mergeCell ref="A15:F15"/>
    <mergeCell ref="A25:F25"/>
    <mergeCell ref="A54:F54"/>
    <mergeCell ref="B57:C57"/>
    <mergeCell ref="A12:B12"/>
    <mergeCell ref="A20:B20"/>
    <mergeCell ref="A51:B5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00" zoomScaleNormal="100" workbookViewId="0">
      <selection activeCell="E91" sqref="E91"/>
    </sheetView>
  </sheetViews>
  <sheetFormatPr defaultColWidth="9.140625" defaultRowHeight="15" x14ac:dyDescent="0.25"/>
  <cols>
    <col min="1" max="1" width="8.5703125" style="19" customWidth="1"/>
    <col min="2" max="2" width="52" style="19" customWidth="1"/>
    <col min="3" max="3" width="14.7109375" style="19" customWidth="1"/>
    <col min="4" max="4" width="15.28515625" style="19" customWidth="1"/>
    <col min="5" max="5" width="18.5703125" style="33" customWidth="1"/>
    <col min="6" max="7" width="9.140625" style="19" customWidth="1"/>
    <col min="8" max="16384" width="9.140625" style="19"/>
  </cols>
  <sheetData>
    <row r="1" spans="1:5" ht="22.5" customHeight="1" x14ac:dyDescent="0.25">
      <c r="A1" s="770" t="s">
        <v>858</v>
      </c>
      <c r="B1" s="771"/>
      <c r="C1" s="771"/>
      <c r="D1" s="771"/>
      <c r="E1" s="772"/>
    </row>
    <row r="2" spans="1:5" s="261" customFormat="1" ht="22.5" customHeight="1" x14ac:dyDescent="0.25">
      <c r="A2" s="773">
        <v>2022</v>
      </c>
      <c r="B2" s="773"/>
      <c r="C2" s="773"/>
      <c r="D2" s="773"/>
      <c r="E2" s="773"/>
    </row>
    <row r="3" spans="1:5" s="293" customFormat="1" ht="22.5" customHeight="1" x14ac:dyDescent="0.25">
      <c r="A3" s="647"/>
      <c r="B3" s="647"/>
      <c r="C3" s="647"/>
      <c r="D3" s="647"/>
      <c r="E3" s="647"/>
    </row>
    <row r="4" spans="1:5" ht="15.75" thickBot="1" x14ac:dyDescent="0.3">
      <c r="A4" s="31"/>
      <c r="B4" s="31"/>
      <c r="C4" s="31" t="s">
        <v>859</v>
      </c>
      <c r="D4" s="31" t="s">
        <v>1319</v>
      </c>
      <c r="E4" s="31" t="s">
        <v>1320</v>
      </c>
    </row>
    <row r="5" spans="1:5" ht="15.75" thickBot="1" x14ac:dyDescent="0.3">
      <c r="A5" s="774" t="s">
        <v>54</v>
      </c>
      <c r="B5" s="775"/>
      <c r="C5" s="35"/>
      <c r="D5" s="35"/>
      <c r="E5" s="35"/>
    </row>
    <row r="6" spans="1:5" x14ac:dyDescent="0.25">
      <c r="A6" s="32"/>
      <c r="B6" s="33"/>
      <c r="C6" s="35"/>
      <c r="D6" s="35"/>
      <c r="E6" s="35"/>
    </row>
    <row r="7" spans="1:5" x14ac:dyDescent="0.25">
      <c r="A7" s="288" t="s">
        <v>55</v>
      </c>
      <c r="B7" s="33"/>
      <c r="C7" s="35"/>
      <c r="D7" s="35"/>
      <c r="E7" s="35"/>
    </row>
    <row r="8" spans="1:5" s="261" customFormat="1" x14ac:dyDescent="0.25">
      <c r="A8" s="36"/>
      <c r="B8" s="38" t="s">
        <v>56</v>
      </c>
      <c r="C8" s="39">
        <v>15598117</v>
      </c>
      <c r="D8" s="39">
        <v>14676869</v>
      </c>
      <c r="E8" s="39">
        <v>0</v>
      </c>
    </row>
    <row r="9" spans="1:5" s="261" customFormat="1" x14ac:dyDescent="0.25">
      <c r="A9" s="36"/>
      <c r="B9" s="38" t="s">
        <v>874</v>
      </c>
      <c r="C9" s="39">
        <v>50000</v>
      </c>
      <c r="D9" s="39">
        <v>70000</v>
      </c>
      <c r="E9" s="39">
        <f>SUM('KÖH bevétel'!E7)</f>
        <v>50000</v>
      </c>
    </row>
    <row r="10" spans="1:5" x14ac:dyDescent="0.25">
      <c r="A10" s="32"/>
      <c r="B10" s="38" t="s">
        <v>1288</v>
      </c>
      <c r="C10" s="39"/>
      <c r="D10" s="41">
        <v>5185</v>
      </c>
      <c r="E10" s="39"/>
    </row>
    <row r="11" spans="1:5" x14ac:dyDescent="0.25">
      <c r="A11" s="36"/>
      <c r="B11" s="33"/>
      <c r="C11" s="289">
        <f>SUM(C8:C10)</f>
        <v>15648117</v>
      </c>
      <c r="D11" s="289">
        <f t="shared" ref="D11:E11" si="0">SUM(D8:D10)</f>
        <v>14752054</v>
      </c>
      <c r="E11" s="289">
        <f t="shared" si="0"/>
        <v>50000</v>
      </c>
    </row>
    <row r="12" spans="1:5" x14ac:dyDescent="0.25">
      <c r="A12" s="288" t="s">
        <v>52</v>
      </c>
      <c r="B12" s="33"/>
      <c r="C12" s="33"/>
      <c r="D12" s="34"/>
      <c r="E12" s="34"/>
    </row>
    <row r="13" spans="1:5" x14ac:dyDescent="0.25">
      <c r="A13" s="36"/>
      <c r="B13" s="38" t="s">
        <v>53</v>
      </c>
      <c r="C13" s="40">
        <v>2426831</v>
      </c>
      <c r="D13" s="40">
        <v>2424863</v>
      </c>
      <c r="E13" s="39">
        <f>SUM('KÖH bevétel'!E11)</f>
        <v>5239180</v>
      </c>
    </row>
    <row r="14" spans="1:5" s="261" customFormat="1" x14ac:dyDescent="0.25">
      <c r="A14" s="36"/>
      <c r="B14" s="38" t="s">
        <v>860</v>
      </c>
      <c r="C14" s="40">
        <v>63623169</v>
      </c>
      <c r="D14" s="40">
        <v>66330579</v>
      </c>
      <c r="E14" s="39">
        <f>SUM('KÖH bevétel'!E12)</f>
        <v>79475225.599999994</v>
      </c>
    </row>
    <row r="15" spans="1:5" x14ac:dyDescent="0.25">
      <c r="A15" s="36"/>
      <c r="C15" s="276">
        <f>SUM(C13:C14)</f>
        <v>66050000</v>
      </c>
      <c r="D15" s="276">
        <f t="shared" ref="D15:E15" si="1">SUM(D13:D14)</f>
        <v>68755442</v>
      </c>
      <c r="E15" s="276">
        <f t="shared" si="1"/>
        <v>84714405.599999994</v>
      </c>
    </row>
    <row r="16" spans="1:5" s="268" customFormat="1" x14ac:dyDescent="0.25">
      <c r="A16" s="36"/>
      <c r="B16" s="286" t="s">
        <v>193</v>
      </c>
      <c r="C16" s="278">
        <f>SUM(C11+C15)</f>
        <v>81698117</v>
      </c>
      <c r="D16" s="278">
        <f t="shared" ref="D16:E16" si="2">SUM(D11+D15)</f>
        <v>83507496</v>
      </c>
      <c r="E16" s="278">
        <f t="shared" si="2"/>
        <v>84764405.599999994</v>
      </c>
    </row>
    <row r="17" spans="1:6" x14ac:dyDescent="0.25">
      <c r="A17" s="37"/>
      <c r="B17" s="33"/>
      <c r="C17" s="35"/>
      <c r="D17" s="385"/>
      <c r="E17" s="385">
        <f>SUM('KÖH bevétel'!F20)</f>
        <v>84764405.599999994</v>
      </c>
    </row>
    <row r="18" spans="1:6" x14ac:dyDescent="0.25">
      <c r="A18" s="280" t="s">
        <v>57</v>
      </c>
      <c r="B18" s="281"/>
      <c r="C18" s="33"/>
      <c r="D18" s="386"/>
      <c r="E18" s="35"/>
    </row>
    <row r="19" spans="1:6" x14ac:dyDescent="0.25">
      <c r="A19" s="33"/>
      <c r="B19" s="33"/>
      <c r="C19" s="33"/>
      <c r="D19" s="34"/>
      <c r="E19" s="35"/>
    </row>
    <row r="20" spans="1:6" s="268" customFormat="1" x14ac:dyDescent="0.25">
      <c r="A20" s="288" t="s">
        <v>73</v>
      </c>
      <c r="B20" s="32"/>
      <c r="C20" s="264"/>
      <c r="D20" s="272"/>
      <c r="E20" s="35"/>
    </row>
    <row r="21" spans="1:6" s="268" customFormat="1" x14ac:dyDescent="0.25">
      <c r="A21" s="57" t="s">
        <v>405</v>
      </c>
      <c r="B21" s="44" t="s">
        <v>74</v>
      </c>
      <c r="C21" s="45">
        <f>SUM(C22:C31)</f>
        <v>87366197</v>
      </c>
      <c r="D21" s="45">
        <v>87687965</v>
      </c>
      <c r="E21" s="45">
        <f>SUM(E22:E31)</f>
        <v>85199700</v>
      </c>
      <c r="F21" s="274"/>
    </row>
    <row r="22" spans="1:6" s="268" customFormat="1" x14ac:dyDescent="0.25">
      <c r="A22" s="37"/>
      <c r="B22" s="38" t="s">
        <v>75</v>
      </c>
      <c r="C22" s="39">
        <v>62415000</v>
      </c>
      <c r="D22" s="270"/>
      <c r="E22" s="39">
        <f>SUM('ÖNK bevétel cofogra'!D181)</f>
        <v>63343280</v>
      </c>
      <c r="F22" s="274"/>
    </row>
    <row r="23" spans="1:6" s="268" customFormat="1" x14ac:dyDescent="0.25">
      <c r="A23" s="37"/>
      <c r="B23" s="38" t="s">
        <v>76</v>
      </c>
      <c r="C23" s="40">
        <v>5012280</v>
      </c>
      <c r="D23" s="269"/>
      <c r="E23" s="39">
        <f>SUM('ÖNK bevétel cofogra'!D182)</f>
        <v>5171400</v>
      </c>
      <c r="F23" s="274"/>
    </row>
    <row r="24" spans="1:6" s="268" customFormat="1" x14ac:dyDescent="0.25">
      <c r="A24" s="37"/>
      <c r="B24" s="38" t="s">
        <v>77</v>
      </c>
      <c r="C24" s="39">
        <v>7488000</v>
      </c>
      <c r="D24" s="270"/>
      <c r="E24" s="39">
        <f>SUM('ÖNK bevétel cofogra'!D183)</f>
        <v>7839000</v>
      </c>
      <c r="F24" s="274"/>
    </row>
    <row r="25" spans="1:6" s="268" customFormat="1" x14ac:dyDescent="0.25">
      <c r="A25" s="37"/>
      <c r="B25" s="38" t="s">
        <v>78</v>
      </c>
      <c r="C25" s="39">
        <v>791775</v>
      </c>
      <c r="D25" s="270"/>
      <c r="E25" s="39">
        <f>SUM('ÖNK bevétel cofogra'!D184)</f>
        <v>100000</v>
      </c>
      <c r="F25" s="274"/>
    </row>
    <row r="26" spans="1:6" s="268" customFormat="1" x14ac:dyDescent="0.25">
      <c r="A26" s="37"/>
      <c r="B26" s="38" t="s">
        <v>79</v>
      </c>
      <c r="C26" s="40">
        <v>3631092</v>
      </c>
      <c r="D26" s="269"/>
      <c r="E26" s="40">
        <f>SUM('ÖNK bevétel cofogra'!D185)</f>
        <v>3919020</v>
      </c>
      <c r="F26" s="274"/>
    </row>
    <row r="27" spans="1:6" s="268" customFormat="1" x14ac:dyDescent="0.25">
      <c r="A27" s="37"/>
      <c r="B27" s="38" t="s">
        <v>80</v>
      </c>
      <c r="C27" s="40">
        <v>8000000</v>
      </c>
      <c r="D27" s="269"/>
      <c r="E27" s="39">
        <f>SUM('ÖNK bevétel cofogra'!D186)</f>
        <v>4800000</v>
      </c>
      <c r="F27" s="274"/>
    </row>
    <row r="28" spans="1:6" s="268" customFormat="1" x14ac:dyDescent="0.25">
      <c r="A28" s="37"/>
      <c r="B28" s="38" t="s">
        <v>81</v>
      </c>
      <c r="C28" s="40">
        <v>28050</v>
      </c>
      <c r="D28" s="269"/>
      <c r="E28" s="39">
        <f>SUM('ÖNK bevétel cofogra'!D187)</f>
        <v>27000</v>
      </c>
      <c r="F28" s="274"/>
    </row>
    <row r="29" spans="1:6" s="268" customFormat="1" x14ac:dyDescent="0.25">
      <c r="A29" s="37"/>
      <c r="B29" s="38" t="s">
        <v>82</v>
      </c>
      <c r="C29" s="40"/>
      <c r="D29" s="269"/>
      <c r="E29" s="39">
        <v>0</v>
      </c>
      <c r="F29" s="274"/>
    </row>
    <row r="30" spans="1:6" s="268" customFormat="1" x14ac:dyDescent="0.25">
      <c r="A30" s="37"/>
      <c r="B30" s="38" t="s">
        <v>83</v>
      </c>
      <c r="C30" s="40"/>
      <c r="D30" s="269"/>
      <c r="E30" s="39">
        <v>0</v>
      </c>
      <c r="F30" s="274"/>
    </row>
    <row r="31" spans="1:6" s="268" customFormat="1" x14ac:dyDescent="0.25">
      <c r="A31" s="37"/>
      <c r="B31" s="38" t="s">
        <v>84</v>
      </c>
      <c r="C31" s="40"/>
      <c r="D31" s="269"/>
      <c r="E31" s="39">
        <v>0</v>
      </c>
      <c r="F31" s="274"/>
    </row>
    <row r="32" spans="1:6" s="268" customFormat="1" x14ac:dyDescent="0.25">
      <c r="A32" s="57" t="s">
        <v>407</v>
      </c>
      <c r="B32" s="44" t="s">
        <v>85</v>
      </c>
      <c r="C32" s="46">
        <f>SUM(C33:C35)</f>
        <v>31028050</v>
      </c>
      <c r="D32" s="45">
        <v>21265570</v>
      </c>
      <c r="E32" s="45">
        <f>SUM(E33:E35)</f>
        <v>0</v>
      </c>
      <c r="F32" s="274"/>
    </row>
    <row r="33" spans="1:6" s="268" customFormat="1" x14ac:dyDescent="0.25">
      <c r="A33" s="37"/>
      <c r="B33" s="38" t="s">
        <v>86</v>
      </c>
      <c r="C33" s="40">
        <v>26742450</v>
      </c>
      <c r="D33" s="39"/>
      <c r="E33" s="39">
        <f>SUM('ÖNK bevétel cofogra'!D190)</f>
        <v>0</v>
      </c>
      <c r="F33" s="274"/>
    </row>
    <row r="34" spans="1:6" s="268" customFormat="1" x14ac:dyDescent="0.25">
      <c r="A34" s="37"/>
      <c r="B34" s="38" t="s">
        <v>87</v>
      </c>
      <c r="C34" s="40">
        <v>4285600</v>
      </c>
      <c r="D34" s="39"/>
      <c r="E34" s="39">
        <f>SUM('ÖNK bevétel cofogra'!D191)</f>
        <v>0</v>
      </c>
      <c r="F34" s="274"/>
    </row>
    <row r="35" spans="1:6" s="268" customFormat="1" x14ac:dyDescent="0.25">
      <c r="A35" s="37"/>
      <c r="B35" s="38" t="s">
        <v>88</v>
      </c>
      <c r="C35" s="40">
        <v>0</v>
      </c>
      <c r="D35" s="39"/>
      <c r="E35" s="39"/>
      <c r="F35" s="274"/>
    </row>
    <row r="36" spans="1:6" s="268" customFormat="1" x14ac:dyDescent="0.25">
      <c r="A36" s="57" t="s">
        <v>409</v>
      </c>
      <c r="B36" s="44" t="s">
        <v>89</v>
      </c>
      <c r="C36" s="46">
        <f>SUM(C37:C44)</f>
        <v>16676990</v>
      </c>
      <c r="D36" s="45">
        <v>13901070</v>
      </c>
      <c r="E36" s="45">
        <f>SUM(E37:E44)</f>
        <v>885720</v>
      </c>
      <c r="F36" s="274"/>
    </row>
    <row r="37" spans="1:6" s="268" customFormat="1" x14ac:dyDescent="0.25">
      <c r="A37" s="37"/>
      <c r="B37" s="38" t="s">
        <v>90</v>
      </c>
      <c r="C37" s="39">
        <v>6255230</v>
      </c>
      <c r="D37" s="39"/>
      <c r="E37" s="39">
        <f>SUM('ÖNK bevétel cofogra'!D193)</f>
        <v>0</v>
      </c>
      <c r="F37" s="274"/>
    </row>
    <row r="38" spans="1:6" s="268" customFormat="1" x14ac:dyDescent="0.25">
      <c r="A38" s="37"/>
      <c r="B38" s="38" t="s">
        <v>91</v>
      </c>
      <c r="C38" s="39">
        <v>1061760</v>
      </c>
      <c r="D38" s="39"/>
      <c r="E38" s="39">
        <f>SUM('ÖNK bevétel cofogra'!D69)</f>
        <v>885720</v>
      </c>
      <c r="F38" s="274"/>
    </row>
    <row r="39" spans="1:6" s="268" customFormat="1" x14ac:dyDescent="0.25">
      <c r="A39" s="37"/>
      <c r="B39" s="38" t="s">
        <v>92</v>
      </c>
      <c r="C39" s="39">
        <v>9360000</v>
      </c>
      <c r="D39" s="39"/>
      <c r="E39" s="39">
        <f>SUM('ÖNK bevétel cofogra'!D195)</f>
        <v>0</v>
      </c>
      <c r="F39" s="274"/>
    </row>
    <row r="40" spans="1:6" s="268" customFormat="1" x14ac:dyDescent="0.25">
      <c r="A40" s="37"/>
      <c r="B40" s="38" t="s">
        <v>93</v>
      </c>
      <c r="C40" s="39"/>
      <c r="D40" s="39"/>
      <c r="E40" s="39"/>
      <c r="F40" s="274"/>
    </row>
    <row r="41" spans="1:6" s="268" customFormat="1" x14ac:dyDescent="0.25">
      <c r="A41" s="37"/>
      <c r="B41" s="38" t="s">
        <v>94</v>
      </c>
      <c r="C41" s="39"/>
      <c r="D41" s="39"/>
      <c r="E41" s="39"/>
      <c r="F41" s="274"/>
    </row>
    <row r="42" spans="1:6" s="268" customFormat="1" x14ac:dyDescent="0.25">
      <c r="A42" s="37"/>
      <c r="B42" s="38" t="s">
        <v>95</v>
      </c>
      <c r="C42" s="39"/>
      <c r="D42" s="39"/>
      <c r="E42" s="39"/>
      <c r="F42" s="274"/>
    </row>
    <row r="43" spans="1:6" s="268" customFormat="1" x14ac:dyDescent="0.25">
      <c r="A43" s="37"/>
      <c r="B43" s="38" t="s">
        <v>96</v>
      </c>
      <c r="C43" s="39"/>
      <c r="D43" s="39"/>
      <c r="E43" s="39"/>
      <c r="F43" s="274"/>
    </row>
    <row r="44" spans="1:6" s="268" customFormat="1" x14ac:dyDescent="0.25">
      <c r="A44" s="37"/>
      <c r="B44" s="38" t="s">
        <v>97</v>
      </c>
      <c r="C44" s="39"/>
      <c r="D44" s="39"/>
      <c r="E44" s="39">
        <v>0</v>
      </c>
      <c r="F44" s="274"/>
    </row>
    <row r="45" spans="1:6" x14ac:dyDescent="0.25">
      <c r="A45" s="57" t="s">
        <v>411</v>
      </c>
      <c r="B45" s="44" t="s">
        <v>98</v>
      </c>
      <c r="C45" s="46">
        <v>2955540</v>
      </c>
      <c r="D45" s="45">
        <v>3004572</v>
      </c>
      <c r="E45" s="45">
        <f>SUM('ÖNK bevétel cofogra'!E196)</f>
        <v>3049514</v>
      </c>
      <c r="F45" s="274"/>
    </row>
    <row r="46" spans="1:6" x14ac:dyDescent="0.25">
      <c r="A46" s="57" t="s">
        <v>413</v>
      </c>
      <c r="B46" s="44" t="s">
        <v>863</v>
      </c>
      <c r="C46" s="45">
        <v>0</v>
      </c>
      <c r="D46" s="45">
        <v>19622120</v>
      </c>
      <c r="E46" s="45">
        <f>SUM('ÖNK bevétel cofogra'!E197)</f>
        <v>3915653</v>
      </c>
    </row>
    <row r="47" spans="1:6" s="293" customFormat="1" x14ac:dyDescent="0.25">
      <c r="A47" s="57" t="s">
        <v>415</v>
      </c>
      <c r="B47" s="44" t="s">
        <v>1433</v>
      </c>
      <c r="C47" s="45">
        <v>0</v>
      </c>
      <c r="D47" s="45">
        <v>89100</v>
      </c>
      <c r="E47" s="45">
        <v>0</v>
      </c>
    </row>
    <row r="48" spans="1:6" s="268" customFormat="1" x14ac:dyDescent="0.25">
      <c r="A48" s="37"/>
      <c r="B48" s="273"/>
      <c r="C48" s="275">
        <f>SUM(C21+C32+C36+C45+C46+C47)</f>
        <v>138026777</v>
      </c>
      <c r="D48" s="275">
        <f t="shared" ref="D48:E48" si="3">SUM(D21+D32+D36+D45+D46+D47)</f>
        <v>145570397</v>
      </c>
      <c r="E48" s="275">
        <f t="shared" si="3"/>
        <v>93050587</v>
      </c>
    </row>
    <row r="49" spans="1:5" s="268" customFormat="1" x14ac:dyDescent="0.25">
      <c r="A49" s="57" t="s">
        <v>869</v>
      </c>
      <c r="B49" s="32"/>
      <c r="C49" s="35"/>
      <c r="D49" s="35"/>
      <c r="E49" s="35"/>
    </row>
    <row r="50" spans="1:5" s="268" customFormat="1" x14ac:dyDescent="0.25">
      <c r="A50" s="57" t="s">
        <v>423</v>
      </c>
      <c r="B50" s="38" t="s">
        <v>864</v>
      </c>
      <c r="C50" s="38">
        <v>0</v>
      </c>
      <c r="D50" s="39">
        <f>SUM('ÖNK bevétel cofogra'!E198)</f>
        <v>0</v>
      </c>
      <c r="E50" s="45">
        <f>SUM('ÖNK bevétel cofogra'!E198)</f>
        <v>0</v>
      </c>
    </row>
    <row r="51" spans="1:5" s="268" customFormat="1" x14ac:dyDescent="0.25">
      <c r="A51" s="37"/>
      <c r="B51" s="32"/>
      <c r="C51" s="276">
        <f>SUM(C50)</f>
        <v>0</v>
      </c>
      <c r="D51" s="276">
        <f t="shared" ref="D51" si="4">SUM(D50)</f>
        <v>0</v>
      </c>
      <c r="E51" s="276">
        <f t="shared" ref="E51" si="5">SUM(E50)</f>
        <v>0</v>
      </c>
    </row>
    <row r="52" spans="1:5" s="268" customFormat="1" x14ac:dyDescent="0.25">
      <c r="A52" s="37"/>
      <c r="B52" s="32"/>
      <c r="C52" s="35"/>
      <c r="D52" s="35"/>
      <c r="E52" s="35"/>
    </row>
    <row r="53" spans="1:5" s="268" customFormat="1" x14ac:dyDescent="0.25">
      <c r="A53" s="288" t="s">
        <v>66</v>
      </c>
      <c r="B53" s="33"/>
      <c r="C53" s="264"/>
      <c r="D53" s="272"/>
      <c r="E53" s="35"/>
    </row>
    <row r="54" spans="1:5" s="268" customFormat="1" x14ac:dyDescent="0.25">
      <c r="A54" s="57" t="s">
        <v>427</v>
      </c>
      <c r="B54" s="38" t="s">
        <v>67</v>
      </c>
      <c r="C54" s="39">
        <v>28200424</v>
      </c>
      <c r="D54" s="39">
        <v>28290100</v>
      </c>
      <c r="E54" s="39">
        <f>SUM('ÖNK bevétel cofogra'!F117)</f>
        <v>28200424</v>
      </c>
    </row>
    <row r="55" spans="1:5" s="268" customFormat="1" x14ac:dyDescent="0.25">
      <c r="A55" s="37"/>
      <c r="B55" s="38" t="s">
        <v>68</v>
      </c>
      <c r="C55" s="39">
        <v>11773400</v>
      </c>
      <c r="D55" s="39">
        <v>11755400</v>
      </c>
      <c r="E55" s="39">
        <f>SUM('ÖNK bevétel cofogra'!F124)</f>
        <v>11773400</v>
      </c>
    </row>
    <row r="56" spans="1:5" s="293" customFormat="1" x14ac:dyDescent="0.25">
      <c r="A56" s="37"/>
      <c r="B56" s="38" t="s">
        <v>1263</v>
      </c>
      <c r="C56" s="39">
        <v>4263160</v>
      </c>
      <c r="D56" s="39">
        <v>4263160</v>
      </c>
      <c r="E56" s="39">
        <f>SUM('ÖNK bevétel cofogra'!F102)</f>
        <v>0</v>
      </c>
    </row>
    <row r="57" spans="1:5" s="293" customFormat="1" x14ac:dyDescent="0.25">
      <c r="A57" s="37"/>
      <c r="B57" s="38" t="s">
        <v>1404</v>
      </c>
      <c r="C57" s="39">
        <v>0</v>
      </c>
      <c r="D57" s="39">
        <v>0</v>
      </c>
      <c r="E57" s="39">
        <f>SUM('ÖNK bevétel cofogra'!F91)</f>
        <v>16253302.155579342</v>
      </c>
    </row>
    <row r="58" spans="1:5" s="293" customFormat="1" x14ac:dyDescent="0.25">
      <c r="A58" s="37"/>
      <c r="B58" s="38" t="s">
        <v>1434</v>
      </c>
      <c r="C58" s="39">
        <v>0</v>
      </c>
      <c r="D58" s="39">
        <v>3035340</v>
      </c>
      <c r="E58" s="39">
        <v>0</v>
      </c>
    </row>
    <row r="59" spans="1:5" s="268" customFormat="1" x14ac:dyDescent="0.25">
      <c r="A59" s="37"/>
      <c r="B59" s="38" t="s">
        <v>1259</v>
      </c>
      <c r="C59" s="39">
        <v>2434700</v>
      </c>
      <c r="D59" s="39">
        <v>1933997</v>
      </c>
      <c r="E59" s="39">
        <f>G61+SUM('ÖNK bevétel cofogra'!F157)</f>
        <v>2760850</v>
      </c>
    </row>
    <row r="60" spans="1:5" s="268" customFormat="1" x14ac:dyDescent="0.25">
      <c r="A60" s="37"/>
      <c r="B60" s="38" t="s">
        <v>178</v>
      </c>
      <c r="C60" s="39">
        <v>13238309</v>
      </c>
      <c r="D60" s="39">
        <v>5908007</v>
      </c>
      <c r="E60" s="39">
        <f>SUM('ÖNK bevétel cofogra'!F131)</f>
        <v>7330302</v>
      </c>
    </row>
    <row r="61" spans="1:5" s="268" customFormat="1" x14ac:dyDescent="0.25">
      <c r="A61" s="33"/>
      <c r="B61" s="33"/>
      <c r="C61" s="277">
        <f>SUM(C54:C60)</f>
        <v>59909993</v>
      </c>
      <c r="D61" s="277">
        <f>SUM(D54:D60)</f>
        <v>55186004</v>
      </c>
      <c r="E61" s="276">
        <f>SUM(E54:E60)</f>
        <v>66318278.155579343</v>
      </c>
    </row>
    <row r="62" spans="1:5" s="268" customFormat="1" x14ac:dyDescent="0.25">
      <c r="A62" s="290" t="s">
        <v>1109</v>
      </c>
      <c r="B62" s="280" t="s">
        <v>193</v>
      </c>
      <c r="C62" s="278">
        <f>SUM(C48+C51+C61)</f>
        <v>197936770</v>
      </c>
      <c r="D62" s="278">
        <f>SUM(D48+D51+D61)</f>
        <v>200756401</v>
      </c>
      <c r="E62" s="278">
        <f>SUM(E48+E51+E61)</f>
        <v>159368865.15557933</v>
      </c>
    </row>
    <row r="63" spans="1:5" s="268" customFormat="1" x14ac:dyDescent="0.25">
      <c r="A63" s="37"/>
      <c r="B63" s="32"/>
      <c r="C63" s="279"/>
      <c r="D63" s="279"/>
      <c r="E63" s="279"/>
    </row>
    <row r="64" spans="1:5" s="268" customFormat="1" x14ac:dyDescent="0.25">
      <c r="A64" s="288" t="s">
        <v>72</v>
      </c>
      <c r="B64" s="33"/>
      <c r="C64" s="33"/>
      <c r="D64" s="279"/>
      <c r="E64" s="279"/>
    </row>
    <row r="65" spans="1:5" s="268" customFormat="1" x14ac:dyDescent="0.25">
      <c r="A65" s="57" t="s">
        <v>487</v>
      </c>
      <c r="B65" s="38" t="s">
        <v>1291</v>
      </c>
      <c r="C65" s="38">
        <v>0</v>
      </c>
      <c r="D65" s="39">
        <v>0</v>
      </c>
      <c r="E65" s="45">
        <f>SUM('ÖNK bevétel cofogra'!E201)</f>
        <v>0</v>
      </c>
    </row>
    <row r="66" spans="1:5" s="293" customFormat="1" x14ac:dyDescent="0.25">
      <c r="A66" s="57"/>
      <c r="B66" s="38" t="s">
        <v>1435</v>
      </c>
      <c r="C66" s="38">
        <v>0</v>
      </c>
      <c r="D66" s="39">
        <v>38455854</v>
      </c>
      <c r="E66" s="45">
        <v>0</v>
      </c>
    </row>
    <row r="67" spans="1:5" s="268" customFormat="1" x14ac:dyDescent="0.25">
      <c r="A67" s="57" t="s">
        <v>495</v>
      </c>
      <c r="B67" s="38" t="s">
        <v>177</v>
      </c>
      <c r="C67" s="38">
        <v>60000000</v>
      </c>
      <c r="D67" s="38">
        <v>60000000</v>
      </c>
      <c r="E67" s="45">
        <f>SUM('ÖNK bevétel cofogra'!E77)</f>
        <v>0</v>
      </c>
    </row>
    <row r="68" spans="1:5" s="268" customFormat="1" x14ac:dyDescent="0.25">
      <c r="A68" s="37"/>
      <c r="B68" s="32"/>
      <c r="C68" s="276">
        <f>SUM(C65:C67)</f>
        <v>60000000</v>
      </c>
      <c r="D68" s="276">
        <f t="shared" ref="D68:E68" si="6">SUM(D65:D67)</f>
        <v>98455854</v>
      </c>
      <c r="E68" s="276">
        <f t="shared" si="6"/>
        <v>0</v>
      </c>
    </row>
    <row r="69" spans="1:5" s="268" customFormat="1" x14ac:dyDescent="0.25">
      <c r="A69" s="290" t="s">
        <v>33</v>
      </c>
      <c r="B69" s="280" t="s">
        <v>193</v>
      </c>
      <c r="C69" s="278">
        <f>SUM(C68)</f>
        <v>60000000</v>
      </c>
      <c r="D69" s="278">
        <f t="shared" ref="D69:E69" si="7">SUM(D68)</f>
        <v>98455854</v>
      </c>
      <c r="E69" s="278">
        <f t="shared" si="7"/>
        <v>0</v>
      </c>
    </row>
    <row r="70" spans="1:5" s="268" customFormat="1" x14ac:dyDescent="0.25">
      <c r="A70" s="37"/>
      <c r="B70" s="32"/>
      <c r="C70" s="279"/>
      <c r="D70" s="279"/>
      <c r="E70" s="279"/>
    </row>
    <row r="71" spans="1:5" s="268" customFormat="1" x14ac:dyDescent="0.25">
      <c r="A71" s="288" t="s">
        <v>59</v>
      </c>
      <c r="B71" s="33"/>
      <c r="C71" s="264"/>
      <c r="D71" s="272"/>
      <c r="E71" s="35"/>
    </row>
    <row r="72" spans="1:5" s="268" customFormat="1" x14ac:dyDescent="0.25">
      <c r="A72" s="37"/>
      <c r="B72" s="38" t="s">
        <v>60</v>
      </c>
      <c r="C72" s="39">
        <v>9300000</v>
      </c>
      <c r="D72" s="39">
        <v>9017131</v>
      </c>
      <c r="E72" s="39">
        <f>SUM('ÖNK bevétel cofogra'!D138)</f>
        <v>9000000</v>
      </c>
    </row>
    <row r="73" spans="1:5" s="268" customFormat="1" x14ac:dyDescent="0.25">
      <c r="A73" s="37"/>
      <c r="B73" s="38" t="s">
        <v>61</v>
      </c>
      <c r="C73" s="39">
        <v>32000000</v>
      </c>
      <c r="D73" s="39">
        <v>82378769</v>
      </c>
      <c r="E73" s="39">
        <f>SUM('ÖNK bevétel cofogra'!D141)</f>
        <v>80000000</v>
      </c>
    </row>
    <row r="74" spans="1:5" s="268" customFormat="1" x14ac:dyDescent="0.25">
      <c r="A74" s="37"/>
      <c r="B74" s="38" t="s">
        <v>62</v>
      </c>
      <c r="C74" s="39">
        <v>40000</v>
      </c>
      <c r="D74" s="39">
        <v>578100</v>
      </c>
      <c r="E74" s="39">
        <f>SUM('ÖNK bevétel cofogra'!D143)</f>
        <v>500000</v>
      </c>
    </row>
    <row r="75" spans="1:5" s="268" customFormat="1" x14ac:dyDescent="0.25">
      <c r="A75" s="37"/>
      <c r="B75" s="38" t="s">
        <v>63</v>
      </c>
      <c r="C75" s="39">
        <v>0</v>
      </c>
      <c r="D75" s="39">
        <v>0</v>
      </c>
      <c r="E75" s="39">
        <f t="shared" ref="E75" si="8">SUM(D75)</f>
        <v>0</v>
      </c>
    </row>
    <row r="76" spans="1:5" s="268" customFormat="1" x14ac:dyDescent="0.25">
      <c r="A76" s="37"/>
      <c r="B76" s="38" t="s">
        <v>184</v>
      </c>
      <c r="C76" s="39">
        <v>1000000</v>
      </c>
      <c r="D76" s="39">
        <v>525075</v>
      </c>
      <c r="E76" s="39">
        <f>SUM('ÖNK bevétel cofogra'!D146)</f>
        <v>700000</v>
      </c>
    </row>
    <row r="77" spans="1:5" s="268" customFormat="1" x14ac:dyDescent="0.25">
      <c r="A77" s="37"/>
      <c r="B77" s="38" t="s">
        <v>64</v>
      </c>
      <c r="C77" s="39">
        <v>1700000</v>
      </c>
      <c r="D77" s="39">
        <v>1451627</v>
      </c>
      <c r="E77" s="39">
        <f>'ÖNK bevétel cofogra'!D137</f>
        <v>1400000</v>
      </c>
    </row>
    <row r="78" spans="1:5" s="268" customFormat="1" x14ac:dyDescent="0.25">
      <c r="A78" s="37"/>
      <c r="B78" s="38" t="s">
        <v>866</v>
      </c>
      <c r="C78" s="39">
        <v>710000</v>
      </c>
      <c r="D78" s="39">
        <v>798600</v>
      </c>
      <c r="E78" s="39">
        <f>SUM('ÖNK bevétel cofogra'!D148)</f>
        <v>700000</v>
      </c>
    </row>
    <row r="79" spans="1:5" s="268" customFormat="1" x14ac:dyDescent="0.25">
      <c r="A79" s="37"/>
      <c r="B79" s="38" t="s">
        <v>865</v>
      </c>
      <c r="C79" s="39"/>
      <c r="D79" s="39">
        <v>20000</v>
      </c>
      <c r="E79" s="39">
        <f>SUM('ÖNK bevétel cofogra'!D147)</f>
        <v>0</v>
      </c>
    </row>
    <row r="80" spans="1:5" s="268" customFormat="1" x14ac:dyDescent="0.25">
      <c r="A80" s="37"/>
      <c r="B80" s="38" t="s">
        <v>65</v>
      </c>
      <c r="C80" s="39">
        <v>4300000</v>
      </c>
      <c r="D80" s="39">
        <v>4008698</v>
      </c>
      <c r="E80" s="39">
        <f>SUM('ÖNK bevétel cofogra'!D139)</f>
        <v>4000000</v>
      </c>
    </row>
    <row r="81" spans="1:6" s="268" customFormat="1" x14ac:dyDescent="0.25">
      <c r="A81" s="37"/>
      <c r="B81" s="33"/>
      <c r="C81" s="276">
        <f>SUM(C72:C80)</f>
        <v>49050000</v>
      </c>
      <c r="D81" s="276">
        <f>SUM(D72:D80)</f>
        <v>98778000</v>
      </c>
      <c r="E81" s="276">
        <f>SUM(E72:E80)</f>
        <v>96300000</v>
      </c>
    </row>
    <row r="82" spans="1:6" s="268" customFormat="1" x14ac:dyDescent="0.25">
      <c r="A82" s="290" t="s">
        <v>456</v>
      </c>
      <c r="B82" s="280" t="s">
        <v>193</v>
      </c>
      <c r="C82" s="278">
        <f>SUM(C81)</f>
        <v>49050000</v>
      </c>
      <c r="D82" s="278">
        <f t="shared" ref="D82:E82" si="9">SUM(D81)</f>
        <v>98778000</v>
      </c>
      <c r="E82" s="278">
        <f t="shared" si="9"/>
        <v>96300000</v>
      </c>
    </row>
    <row r="83" spans="1:6" s="268" customFormat="1" x14ac:dyDescent="0.25">
      <c r="A83" s="37"/>
      <c r="B83" s="32"/>
      <c r="C83" s="35"/>
      <c r="D83" s="35"/>
      <c r="E83" s="35"/>
    </row>
    <row r="84" spans="1:6" s="268" customFormat="1" x14ac:dyDescent="0.25">
      <c r="A84" s="57" t="s">
        <v>50</v>
      </c>
      <c r="B84" s="32"/>
      <c r="C84" s="35"/>
      <c r="D84" s="35"/>
      <c r="E84" s="35"/>
    </row>
    <row r="85" spans="1:6" s="268" customFormat="1" x14ac:dyDescent="0.25">
      <c r="A85" s="37"/>
      <c r="B85" s="32"/>
      <c r="C85" s="35"/>
      <c r="D85" s="35"/>
      <c r="E85" s="35"/>
    </row>
    <row r="86" spans="1:6" x14ac:dyDescent="0.25">
      <c r="A86" s="37" t="s">
        <v>460</v>
      </c>
      <c r="B86" s="38" t="s">
        <v>861</v>
      </c>
      <c r="C86" s="39">
        <v>867466</v>
      </c>
      <c r="D86" s="39">
        <v>748872</v>
      </c>
      <c r="E86" s="39">
        <f>SUM('ÖNK bevétel cofogra'!E4+'ÖNK bevétel cofogra'!E17+'ÖNK bevétel cofogra'!E27)</f>
        <v>686000</v>
      </c>
      <c r="F86" s="26"/>
    </row>
    <row r="87" spans="1:6" x14ac:dyDescent="0.25">
      <c r="A87" s="37" t="s">
        <v>462</v>
      </c>
      <c r="B87" s="38" t="s">
        <v>875</v>
      </c>
      <c r="C87" s="39">
        <v>4056940</v>
      </c>
      <c r="D87" s="39">
        <v>2971546</v>
      </c>
      <c r="E87" s="39">
        <f>SUM('ÖNK bevétel cofogra'!E6+'ÖNK bevétel cofogra'!E36+'ÖNK bevétel cofogra'!E106)</f>
        <v>3683040</v>
      </c>
    </row>
    <row r="88" spans="1:6" s="261" customFormat="1" x14ac:dyDescent="0.25">
      <c r="A88" s="37" t="s">
        <v>873</v>
      </c>
      <c r="B88" s="38" t="s">
        <v>862</v>
      </c>
      <c r="C88" s="39">
        <v>5000</v>
      </c>
      <c r="D88" s="39"/>
      <c r="E88" s="39">
        <f>SUM('ÖNK bevétel cofogra'!E9)</f>
        <v>5000</v>
      </c>
    </row>
    <row r="89" spans="1:6" s="268" customFormat="1" x14ac:dyDescent="0.25">
      <c r="A89" s="37" t="s">
        <v>464</v>
      </c>
      <c r="B89" s="38" t="s">
        <v>867</v>
      </c>
      <c r="C89" s="39">
        <v>5000000</v>
      </c>
      <c r="D89" s="39">
        <v>15364680</v>
      </c>
      <c r="E89" s="39">
        <f>SUM('ÖNK bevétel cofogra'!E162)</f>
        <v>15000000</v>
      </c>
    </row>
    <row r="90" spans="1:6" s="261" customFormat="1" x14ac:dyDescent="0.25">
      <c r="A90" s="37" t="s">
        <v>466</v>
      </c>
      <c r="B90" s="38" t="s">
        <v>465</v>
      </c>
      <c r="C90" s="39">
        <v>0</v>
      </c>
      <c r="D90" s="39">
        <v>342395</v>
      </c>
      <c r="E90" s="39">
        <f>SUM('ÖNK bevétel cofogra'!E221)</f>
        <v>130000</v>
      </c>
    </row>
    <row r="91" spans="1:6" s="293" customFormat="1" x14ac:dyDescent="0.25">
      <c r="A91" s="37" t="s">
        <v>468</v>
      </c>
      <c r="B91" s="38" t="s">
        <v>1440</v>
      </c>
      <c r="C91" s="39">
        <v>0</v>
      </c>
      <c r="D91" s="39">
        <v>0</v>
      </c>
      <c r="E91" s="39">
        <f>SUM('ÖNK bevétel cofogra'!E43)</f>
        <v>1212000</v>
      </c>
    </row>
    <row r="92" spans="1:6" x14ac:dyDescent="0.25">
      <c r="A92" s="37" t="s">
        <v>471</v>
      </c>
      <c r="B92" s="38" t="s">
        <v>58</v>
      </c>
      <c r="C92" s="40">
        <v>1000</v>
      </c>
      <c r="D92" s="39"/>
      <c r="E92" s="39">
        <f>SUM('ÖNK bevétel cofogra'!E8)</f>
        <v>1000</v>
      </c>
    </row>
    <row r="93" spans="1:6" x14ac:dyDescent="0.25">
      <c r="A93" s="33"/>
      <c r="B93" s="33"/>
      <c r="C93" s="276">
        <f>SUM(C86:C92)</f>
        <v>9930406</v>
      </c>
      <c r="D93" s="276">
        <f t="shared" ref="D93:E93" si="10">SUM(D86:D92)</f>
        <v>19427493</v>
      </c>
      <c r="E93" s="276">
        <f t="shared" si="10"/>
        <v>20717040</v>
      </c>
    </row>
    <row r="94" spans="1:6" s="268" customFormat="1" x14ac:dyDescent="0.25">
      <c r="A94" s="280" t="s">
        <v>477</v>
      </c>
      <c r="B94" s="280" t="s">
        <v>193</v>
      </c>
      <c r="C94" s="278">
        <f>SUM(C93)</f>
        <v>9930406</v>
      </c>
      <c r="D94" s="278">
        <f t="shared" ref="D94:E94" si="11">SUM(D93)</f>
        <v>19427493</v>
      </c>
      <c r="E94" s="278">
        <f t="shared" si="11"/>
        <v>20717040</v>
      </c>
    </row>
    <row r="95" spans="1:6" s="642" customFormat="1" x14ac:dyDescent="0.25">
      <c r="A95" s="644"/>
      <c r="B95" s="644"/>
      <c r="C95" s="279"/>
      <c r="D95" s="279"/>
      <c r="E95" s="279"/>
    </row>
    <row r="96" spans="1:6" s="293" customFormat="1" x14ac:dyDescent="0.25">
      <c r="A96" s="336" t="s">
        <v>500</v>
      </c>
      <c r="B96" s="645" t="s">
        <v>1357</v>
      </c>
      <c r="C96" s="646">
        <v>0</v>
      </c>
      <c r="D96" s="646"/>
      <c r="E96" s="646">
        <f>SUM('ÖNK bevétel cofogra'!E226)</f>
        <v>4488000</v>
      </c>
    </row>
    <row r="97" spans="1:5" s="293" customFormat="1" x14ac:dyDescent="0.25">
      <c r="A97" s="644"/>
      <c r="B97" s="644"/>
      <c r="C97" s="279"/>
      <c r="D97" s="279"/>
      <c r="E97" s="279"/>
    </row>
    <row r="98" spans="1:5" s="293" customFormat="1" x14ac:dyDescent="0.25">
      <c r="A98" s="280" t="s">
        <v>508</v>
      </c>
      <c r="B98" s="280" t="s">
        <v>193</v>
      </c>
      <c r="C98" s="278">
        <f>SUM(C96)</f>
        <v>0</v>
      </c>
      <c r="D98" s="278">
        <f t="shared" ref="D98:E98" si="12">SUM(D96)</f>
        <v>0</v>
      </c>
      <c r="E98" s="278">
        <f t="shared" si="12"/>
        <v>4488000</v>
      </c>
    </row>
    <row r="99" spans="1:5" s="293" customFormat="1" x14ac:dyDescent="0.25">
      <c r="A99" s="644"/>
      <c r="B99" s="644"/>
      <c r="C99" s="279"/>
      <c r="D99" s="279"/>
      <c r="E99" s="279"/>
    </row>
    <row r="100" spans="1:5" s="268" customFormat="1" x14ac:dyDescent="0.25">
      <c r="A100" s="37"/>
      <c r="B100" s="33"/>
      <c r="C100" s="35"/>
      <c r="D100" s="35"/>
      <c r="E100" s="35"/>
    </row>
    <row r="101" spans="1:5" x14ac:dyDescent="0.25">
      <c r="A101" s="288" t="s">
        <v>69</v>
      </c>
      <c r="B101" s="33"/>
      <c r="C101" s="271"/>
      <c r="D101" s="271"/>
      <c r="E101" s="35"/>
    </row>
    <row r="102" spans="1:5" x14ac:dyDescent="0.25">
      <c r="A102" s="36"/>
      <c r="B102" s="33"/>
      <c r="C102" s="264"/>
      <c r="D102" s="272"/>
      <c r="E102" s="35"/>
    </row>
    <row r="103" spans="1:5" s="268" customFormat="1" x14ac:dyDescent="0.25">
      <c r="A103" s="36" t="s">
        <v>624</v>
      </c>
      <c r="B103" s="38" t="s">
        <v>70</v>
      </c>
      <c r="C103" s="38">
        <v>0</v>
      </c>
      <c r="D103" s="39"/>
      <c r="E103" s="45">
        <v>0</v>
      </c>
    </row>
    <row r="104" spans="1:5" x14ac:dyDescent="0.25">
      <c r="A104" s="36" t="s">
        <v>635</v>
      </c>
      <c r="B104" s="38" t="s">
        <v>870</v>
      </c>
      <c r="C104" s="40">
        <v>0</v>
      </c>
      <c r="D104" s="39"/>
      <c r="E104" s="39">
        <v>0</v>
      </c>
    </row>
    <row r="105" spans="1:5" x14ac:dyDescent="0.25">
      <c r="A105" s="36"/>
      <c r="B105" s="33"/>
      <c r="C105" s="276">
        <f>SUM(C103:C104)</f>
        <v>0</v>
      </c>
      <c r="D105" s="276">
        <f>SUM(D103:D104)</f>
        <v>0</v>
      </c>
      <c r="E105" s="276">
        <f>SUM(E103:E104)</f>
        <v>0</v>
      </c>
    </row>
    <row r="106" spans="1:5" s="268" customFormat="1" x14ac:dyDescent="0.25">
      <c r="A106" s="291" t="s">
        <v>485</v>
      </c>
      <c r="B106" s="280" t="s">
        <v>193</v>
      </c>
      <c r="C106" s="278">
        <f>SUM(C105)</f>
        <v>0</v>
      </c>
      <c r="D106" s="278">
        <f t="shared" ref="D106:E106" si="13">SUM(D105)</f>
        <v>0</v>
      </c>
      <c r="E106" s="278">
        <f t="shared" si="13"/>
        <v>0</v>
      </c>
    </row>
    <row r="107" spans="1:5" s="268" customFormat="1" x14ac:dyDescent="0.25">
      <c r="A107" s="36"/>
      <c r="B107" s="33"/>
      <c r="C107" s="35"/>
      <c r="D107" s="35"/>
      <c r="E107" s="35"/>
    </row>
    <row r="108" spans="1:5" x14ac:dyDescent="0.25">
      <c r="A108" s="288" t="s">
        <v>71</v>
      </c>
      <c r="B108" s="33"/>
      <c r="C108" s="264"/>
      <c r="D108" s="272"/>
      <c r="E108" s="35"/>
    </row>
    <row r="109" spans="1:5" s="268" customFormat="1" x14ac:dyDescent="0.25">
      <c r="A109" s="288"/>
      <c r="B109" s="33"/>
      <c r="C109" s="264"/>
      <c r="D109" s="272"/>
      <c r="E109" s="35"/>
    </row>
    <row r="110" spans="1:5" x14ac:dyDescent="0.25">
      <c r="A110" s="36" t="s">
        <v>602</v>
      </c>
      <c r="B110" s="38" t="s">
        <v>871</v>
      </c>
      <c r="C110" s="40">
        <v>405000</v>
      </c>
      <c r="D110" s="39">
        <v>0</v>
      </c>
      <c r="E110" s="39">
        <f>SUM('ÖNK bevétel cofogra'!E165)</f>
        <v>500000</v>
      </c>
    </row>
    <row r="111" spans="1:5" x14ac:dyDescent="0.25">
      <c r="A111" s="36"/>
      <c r="B111" s="33"/>
      <c r="C111" s="276">
        <f>SUM(C110)</f>
        <v>405000</v>
      </c>
      <c r="D111" s="276">
        <f t="shared" ref="D111:E111" si="14">SUM(D110)</f>
        <v>0</v>
      </c>
      <c r="E111" s="276">
        <f t="shared" si="14"/>
        <v>500000</v>
      </c>
    </row>
    <row r="112" spans="1:5" s="268" customFormat="1" x14ac:dyDescent="0.25">
      <c r="A112" s="291" t="s">
        <v>516</v>
      </c>
      <c r="B112" s="280" t="s">
        <v>193</v>
      </c>
      <c r="C112" s="278">
        <f>SUM(C111)</f>
        <v>405000</v>
      </c>
      <c r="D112" s="278">
        <f t="shared" ref="D112:E112" si="15">SUM(D111)</f>
        <v>0</v>
      </c>
      <c r="E112" s="278">
        <f t="shared" si="15"/>
        <v>500000</v>
      </c>
    </row>
    <row r="113" spans="1:6" x14ac:dyDescent="0.25">
      <c r="A113" s="36"/>
      <c r="B113" s="33"/>
      <c r="C113" s="264"/>
      <c r="D113" s="272"/>
      <c r="E113" s="35"/>
    </row>
    <row r="114" spans="1:6" x14ac:dyDescent="0.25">
      <c r="A114" s="288" t="s">
        <v>52</v>
      </c>
      <c r="B114" s="43"/>
      <c r="C114" s="35"/>
      <c r="D114" s="35"/>
      <c r="E114" s="35"/>
    </row>
    <row r="115" spans="1:6" x14ac:dyDescent="0.25">
      <c r="A115" s="36"/>
      <c r="B115" s="33"/>
      <c r="C115" s="264"/>
      <c r="D115" s="272"/>
      <c r="E115" s="34"/>
      <c r="F115" s="26"/>
    </row>
    <row r="116" spans="1:6" x14ac:dyDescent="0.25">
      <c r="A116" s="36" t="s">
        <v>540</v>
      </c>
      <c r="B116" s="38" t="s">
        <v>53</v>
      </c>
      <c r="C116" s="40">
        <v>69370335</v>
      </c>
      <c r="D116" s="39">
        <v>0</v>
      </c>
      <c r="E116" s="39">
        <f>SUM('ÖNK bevétel cofogra'!E232)</f>
        <v>254840111</v>
      </c>
    </row>
    <row r="117" spans="1:6" x14ac:dyDescent="0.25">
      <c r="A117" s="282" t="s">
        <v>547</v>
      </c>
      <c r="B117" s="38" t="s">
        <v>868</v>
      </c>
      <c r="C117" s="40">
        <v>0</v>
      </c>
      <c r="D117" s="39">
        <v>0</v>
      </c>
      <c r="E117" s="39">
        <v>0</v>
      </c>
    </row>
    <row r="118" spans="1:6" x14ac:dyDescent="0.25">
      <c r="B118" s="33"/>
      <c r="C118" s="277">
        <f>SUM(C116:C117)</f>
        <v>69370335</v>
      </c>
      <c r="D118" s="277">
        <f>SUM(D116:D117)</f>
        <v>0</v>
      </c>
      <c r="E118" s="277">
        <f>SUM(E116:E117)</f>
        <v>254840111</v>
      </c>
    </row>
    <row r="119" spans="1:6" s="268" customFormat="1" x14ac:dyDescent="0.25">
      <c r="A119" s="292" t="s">
        <v>571</v>
      </c>
      <c r="B119" s="280" t="s">
        <v>193</v>
      </c>
      <c r="C119" s="287">
        <f>SUM(C118)</f>
        <v>69370335</v>
      </c>
      <c r="D119" s="287">
        <f t="shared" ref="D119:E119" si="16">SUM(D118)</f>
        <v>0</v>
      </c>
      <c r="E119" s="287">
        <f t="shared" si="16"/>
        <v>254840111</v>
      </c>
    </row>
    <row r="120" spans="1:6" x14ac:dyDescent="0.25">
      <c r="C120" s="264"/>
      <c r="D120" s="264"/>
    </row>
    <row r="121" spans="1:6" x14ac:dyDescent="0.25">
      <c r="A121" s="22"/>
      <c r="B121" s="284" t="s">
        <v>100</v>
      </c>
      <c r="C121" s="285">
        <f>SUM(C62+C69+C82+C94+C106+C112+C119)</f>
        <v>386692511</v>
      </c>
      <c r="D121" s="285">
        <f>SUM(D62+D69+D82+D94+D106+D112+D119)</f>
        <v>417417748</v>
      </c>
      <c r="E121" s="285">
        <f>SUM(E62+E69+E82+E94+E106+E112+E119+E98)</f>
        <v>536214016.15557933</v>
      </c>
    </row>
    <row r="122" spans="1:6" s="293" customFormat="1" x14ac:dyDescent="0.25">
      <c r="A122" s="22"/>
      <c r="B122" s="366"/>
      <c r="C122" s="367"/>
      <c r="D122" s="384"/>
      <c r="E122" s="367">
        <f>SUM('ÖNK bevétel cofogra'!F234)</f>
        <v>536214016.15557933</v>
      </c>
    </row>
    <row r="123" spans="1:6" s="293" customFormat="1" x14ac:dyDescent="0.25">
      <c r="A123" s="22"/>
      <c r="B123" s="364" t="s">
        <v>1397</v>
      </c>
      <c r="C123" s="365">
        <f>SUM(C16+C121)</f>
        <v>468390628</v>
      </c>
      <c r="D123" s="365">
        <f>SUM(D16+D121)</f>
        <v>500925244</v>
      </c>
      <c r="E123" s="365">
        <f>SUM(E16+E121)</f>
        <v>620978421.75557935</v>
      </c>
    </row>
    <row r="124" spans="1:6" x14ac:dyDescent="0.25">
      <c r="A124" s="283" t="s">
        <v>872</v>
      </c>
      <c r="B124" s="22" t="s">
        <v>101</v>
      </c>
      <c r="C124" s="27">
        <f>SUM(C11+C48+C51+C61+C81+C93+C105)</f>
        <v>272565293</v>
      </c>
      <c r="D124" s="27">
        <f>SUM(D11+D48+D51+D61+D81+D93+D105)</f>
        <v>333713948</v>
      </c>
      <c r="E124" s="27">
        <f>SUM(E11+E48+E51+E61+E81+E93+E105)</f>
        <v>276435905.15557933</v>
      </c>
    </row>
    <row r="125" spans="1:6" x14ac:dyDescent="0.25">
      <c r="B125" s="22" t="s">
        <v>102</v>
      </c>
      <c r="C125" s="26">
        <f>SUM(C68+C111+C96)</f>
        <v>60405000</v>
      </c>
      <c r="D125" s="26">
        <f>SUM(D68+D111+D96)</f>
        <v>98455854</v>
      </c>
      <c r="E125" s="26">
        <f>SUM(E68+E111+E96)</f>
        <v>4988000</v>
      </c>
    </row>
    <row r="126" spans="1:6" s="293" customFormat="1" x14ac:dyDescent="0.25">
      <c r="B126" s="22" t="s">
        <v>1220</v>
      </c>
      <c r="C126" s="26">
        <f>SUM(C15+C118)</f>
        <v>135420335</v>
      </c>
      <c r="D126" s="26">
        <f>SUM(D15+D118)</f>
        <v>68755442</v>
      </c>
      <c r="E126" s="26">
        <f>SUM(E15+E118)</f>
        <v>339554516.60000002</v>
      </c>
    </row>
    <row r="127" spans="1:6" x14ac:dyDescent="0.25">
      <c r="C127" s="341">
        <f>SUM(C124:C126)</f>
        <v>468390628</v>
      </c>
      <c r="D127" s="341">
        <f>SUM(D124:D126)</f>
        <v>500925244</v>
      </c>
      <c r="E127" s="341">
        <f t="shared" ref="E127" si="17">SUM(E124:E126)</f>
        <v>620978421.75557935</v>
      </c>
    </row>
    <row r="129" spans="1:6" x14ac:dyDescent="0.25">
      <c r="C129" s="641"/>
      <c r="D129" s="370"/>
      <c r="E129" s="370"/>
    </row>
    <row r="130" spans="1:6" x14ac:dyDescent="0.25">
      <c r="C130" s="642"/>
      <c r="D130" s="293"/>
      <c r="E130" s="293"/>
      <c r="F130" s="26"/>
    </row>
    <row r="131" spans="1:6" x14ac:dyDescent="0.25">
      <c r="C131" s="642"/>
      <c r="E131" s="293"/>
      <c r="F131" s="26"/>
    </row>
    <row r="132" spans="1:6" x14ac:dyDescent="0.25">
      <c r="C132" s="641"/>
      <c r="E132" s="370"/>
      <c r="F132" s="26"/>
    </row>
    <row r="133" spans="1:6" x14ac:dyDescent="0.25">
      <c r="F133" s="26"/>
    </row>
    <row r="134" spans="1:6" x14ac:dyDescent="0.25">
      <c r="F134" s="26"/>
    </row>
    <row r="135" spans="1:6" x14ac:dyDescent="0.25">
      <c r="F135" s="26"/>
    </row>
    <row r="136" spans="1:6" x14ac:dyDescent="0.25">
      <c r="F136" s="26"/>
    </row>
    <row r="137" spans="1:6" x14ac:dyDescent="0.25">
      <c r="F137" s="26"/>
    </row>
    <row r="138" spans="1:6" x14ac:dyDescent="0.25">
      <c r="F138" s="26"/>
    </row>
    <row r="139" spans="1:6" x14ac:dyDescent="0.25">
      <c r="F139" s="26"/>
    </row>
    <row r="140" spans="1:6" x14ac:dyDescent="0.25">
      <c r="F140" s="26"/>
    </row>
    <row r="144" spans="1:6" s="268" customFormat="1" x14ac:dyDescent="0.25">
      <c r="A144" s="19"/>
      <c r="B144" s="19"/>
      <c r="C144" s="19"/>
      <c r="D144" s="19"/>
      <c r="E144" s="33"/>
    </row>
    <row r="148" spans="1:5" s="22" customFormat="1" hidden="1" x14ac:dyDescent="0.25">
      <c r="A148" s="19"/>
      <c r="B148" s="19"/>
      <c r="C148" s="19"/>
      <c r="D148" s="19"/>
      <c r="E148" s="33"/>
    </row>
    <row r="149" spans="1:5" hidden="1" x14ac:dyDescent="0.25"/>
  </sheetData>
  <mergeCells count="3">
    <mergeCell ref="A1:E1"/>
    <mergeCell ref="A2:E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4" zoomScaleNormal="100" workbookViewId="0">
      <selection activeCell="B58" sqref="B58"/>
    </sheetView>
  </sheetViews>
  <sheetFormatPr defaultColWidth="9.140625" defaultRowHeight="15" x14ac:dyDescent="0.25"/>
  <cols>
    <col min="1" max="1" width="54.7109375" style="33" customWidth="1"/>
    <col min="2" max="2" width="13.140625" style="33" customWidth="1"/>
    <col min="3" max="3" width="11" style="33" customWidth="1"/>
    <col min="4" max="4" width="11.7109375" style="33" customWidth="1"/>
    <col min="5" max="5" width="11.42578125" style="33" customWidth="1"/>
    <col min="6" max="7" width="10.7109375" style="33" bestFit="1" customWidth="1"/>
    <col min="8" max="16384" width="9.140625" style="33"/>
  </cols>
  <sheetData>
    <row r="1" spans="1:5" ht="20.25" customHeight="1" x14ac:dyDescent="0.25">
      <c r="A1" s="776" t="s">
        <v>876</v>
      </c>
      <c r="B1" s="777"/>
      <c r="C1" s="777"/>
      <c r="D1" s="777"/>
      <c r="E1" s="778"/>
    </row>
    <row r="2" spans="1:5" ht="20.25" customHeight="1" x14ac:dyDescent="0.25">
      <c r="A2" s="783">
        <v>2022</v>
      </c>
      <c r="B2" s="783"/>
      <c r="C2" s="783"/>
      <c r="D2" s="783"/>
      <c r="E2" s="783"/>
    </row>
    <row r="3" spans="1:5" ht="15.75" x14ac:dyDescent="0.25">
      <c r="A3" s="48"/>
      <c r="B3" s="49"/>
      <c r="C3" s="50"/>
      <c r="D3" s="51"/>
      <c r="E3" s="52"/>
    </row>
    <row r="4" spans="1:5" x14ac:dyDescent="0.25">
      <c r="A4" s="779" t="s">
        <v>103</v>
      </c>
      <c r="B4" s="780" t="s">
        <v>104</v>
      </c>
      <c r="C4" s="781" t="s">
        <v>105</v>
      </c>
      <c r="D4" s="781"/>
      <c r="E4" s="782" t="s">
        <v>2</v>
      </c>
    </row>
    <row r="5" spans="1:5" x14ac:dyDescent="0.25">
      <c r="A5" s="779"/>
      <c r="B5" s="780"/>
      <c r="C5" s="53" t="s">
        <v>1319</v>
      </c>
      <c r="D5" s="53" t="s">
        <v>1390</v>
      </c>
      <c r="E5" s="782"/>
    </row>
    <row r="6" spans="1:5" x14ac:dyDescent="0.25">
      <c r="A6" s="54" t="s">
        <v>106</v>
      </c>
      <c r="B6" s="54"/>
      <c r="C6" s="54"/>
      <c r="D6" s="54"/>
      <c r="E6" s="55"/>
    </row>
    <row r="7" spans="1:5" x14ac:dyDescent="0.25">
      <c r="A7" s="56" t="s">
        <v>107</v>
      </c>
      <c r="B7" s="40">
        <f>SUM('KÖH kiadás'!G124+'KÖH kiadás'!G137)</f>
        <v>30886571.600000001</v>
      </c>
      <c r="C7" s="376">
        <v>3019216</v>
      </c>
      <c r="D7" s="40">
        <f>SUM('KÖH kiadás'!G174+'KÖH kiadás'!G179)</f>
        <v>3003000</v>
      </c>
      <c r="E7" s="46">
        <f>B7+D7</f>
        <v>33889571.600000001</v>
      </c>
    </row>
    <row r="8" spans="1:5" x14ac:dyDescent="0.25">
      <c r="A8" s="351" t="s">
        <v>108</v>
      </c>
      <c r="B8" s="352">
        <f t="shared" ref="B8:D8" si="0">SUM(B7)</f>
        <v>30886571.600000001</v>
      </c>
      <c r="C8" s="352">
        <f t="shared" si="0"/>
        <v>3019216</v>
      </c>
      <c r="D8" s="352">
        <f t="shared" si="0"/>
        <v>3003000</v>
      </c>
      <c r="E8" s="352">
        <f>SUM(E7)</f>
        <v>33889571.600000001</v>
      </c>
    </row>
    <row r="9" spans="1:5" x14ac:dyDescent="0.25">
      <c r="A9" s="57"/>
      <c r="B9" s="47"/>
      <c r="C9" s="47"/>
      <c r="D9" s="47"/>
      <c r="E9" s="58"/>
    </row>
    <row r="10" spans="1:5" x14ac:dyDescent="0.25">
      <c r="A10" s="54" t="s">
        <v>109</v>
      </c>
      <c r="B10" s="54"/>
      <c r="C10" s="54"/>
      <c r="D10" s="54"/>
      <c r="E10" s="55"/>
    </row>
    <row r="11" spans="1:5" x14ac:dyDescent="0.25">
      <c r="A11" s="56" t="s">
        <v>107</v>
      </c>
      <c r="B11" s="40">
        <f>SUM('KÖH kiadás'!F431+'KÖH kiadás'!F435-'KÖH kiadás'!G124-'KÖH kiadás'!G137)</f>
        <v>43750833.999999993</v>
      </c>
      <c r="C11" s="40">
        <v>7270937</v>
      </c>
      <c r="D11" s="40">
        <f>SUM('KÖH kiadás'!D455-'Önkorm. kiadások'!D7)</f>
        <v>7124000</v>
      </c>
      <c r="E11" s="46">
        <f>SUM(B11+D11)</f>
        <v>50874833.999999993</v>
      </c>
    </row>
    <row r="12" spans="1:5" x14ac:dyDescent="0.25">
      <c r="A12" s="351" t="s">
        <v>108</v>
      </c>
      <c r="B12" s="352">
        <f t="shared" ref="B12:D12" si="1">SUM(B11)</f>
        <v>43750833.999999993</v>
      </c>
      <c r="C12" s="352">
        <f t="shared" si="1"/>
        <v>7270937</v>
      </c>
      <c r="D12" s="352">
        <f t="shared" si="1"/>
        <v>7124000</v>
      </c>
      <c r="E12" s="352">
        <f>SUM(E11)</f>
        <v>50874833.999999993</v>
      </c>
    </row>
    <row r="13" spans="1:5" x14ac:dyDescent="0.25">
      <c r="A13" s="290"/>
      <c r="B13" s="353">
        <f>SUM(B8+B12)</f>
        <v>74637405.599999994</v>
      </c>
      <c r="C13" s="353">
        <f>SUM(C8+C12)</f>
        <v>10290153</v>
      </c>
      <c r="D13" s="353">
        <f>SUM(D8+D12)</f>
        <v>10127000</v>
      </c>
      <c r="E13" s="353">
        <f>SUM(E8+E12)</f>
        <v>84764405.599999994</v>
      </c>
    </row>
    <row r="14" spans="1:5" x14ac:dyDescent="0.25">
      <c r="A14" s="37"/>
      <c r="B14" s="344"/>
      <c r="C14" s="345"/>
      <c r="D14" s="344"/>
      <c r="E14" s="334">
        <f>SUM('KÖH kiadás'!D456)</f>
        <v>84764405.599999994</v>
      </c>
    </row>
    <row r="15" spans="1:5" x14ac:dyDescent="0.25">
      <c r="A15" s="37"/>
      <c r="B15" s="341"/>
      <c r="C15" s="47"/>
      <c r="D15" s="341"/>
      <c r="E15" s="334"/>
    </row>
    <row r="16" spans="1:5" x14ac:dyDescent="0.25">
      <c r="A16" s="54" t="s">
        <v>57</v>
      </c>
      <c r="B16" s="54"/>
      <c r="C16" s="54"/>
      <c r="D16" s="54"/>
      <c r="E16" s="55"/>
    </row>
    <row r="17" spans="1:7" x14ac:dyDescent="0.25">
      <c r="A17" s="643" t="s">
        <v>110</v>
      </c>
      <c r="B17" s="40">
        <v>0</v>
      </c>
      <c r="C17" s="40">
        <v>224988</v>
      </c>
      <c r="D17" s="40">
        <f>SUM('ÖNK kiadás cofogra'!F283+'ÖNK kiadás cofogra'!F288)</f>
        <v>2348865</v>
      </c>
      <c r="E17" s="46">
        <f>B17+D17</f>
        <v>2348865</v>
      </c>
    </row>
    <row r="18" spans="1:7" x14ac:dyDescent="0.25">
      <c r="A18" s="643" t="s">
        <v>111</v>
      </c>
      <c r="B18" s="40">
        <v>0</v>
      </c>
      <c r="C18" s="40">
        <v>0</v>
      </c>
      <c r="D18" s="40">
        <f>SUM('ÖNK kiadás cofogra'!F242+'ÖNK kiadás cofogra'!F249)</f>
        <v>18053054</v>
      </c>
      <c r="E18" s="46">
        <f t="shared" ref="E18:E46" si="2">B18+D18</f>
        <v>18053054</v>
      </c>
    </row>
    <row r="19" spans="1:7" x14ac:dyDescent="0.25">
      <c r="A19" s="643" t="s">
        <v>185</v>
      </c>
      <c r="B19" s="59">
        <v>0</v>
      </c>
      <c r="C19" s="40">
        <v>6200423</v>
      </c>
      <c r="D19" s="40">
        <f>SUM('ÖNK kiadás cofogra'!F150)</f>
        <v>1314000</v>
      </c>
      <c r="E19" s="46">
        <f t="shared" si="2"/>
        <v>1314000</v>
      </c>
    </row>
    <row r="20" spans="1:7" x14ac:dyDescent="0.25">
      <c r="A20" s="643" t="s">
        <v>107</v>
      </c>
      <c r="B20" s="59">
        <f>SUM('ÖNK kiadás cofogra'!F24+'ÖNK kiadás cofogra'!F36)</f>
        <v>13005930</v>
      </c>
      <c r="C20" s="40">
        <v>13470991</v>
      </c>
      <c r="D20" s="40">
        <f>SUM('ÖNK kiadás cofogra'!F83)</f>
        <v>15704800</v>
      </c>
      <c r="E20" s="46">
        <f t="shared" si="2"/>
        <v>28710730</v>
      </c>
    </row>
    <row r="21" spans="1:7" x14ac:dyDescent="0.25">
      <c r="A21" s="643" t="s">
        <v>1438</v>
      </c>
      <c r="B21" s="59">
        <v>0</v>
      </c>
      <c r="C21" s="40">
        <v>120151563</v>
      </c>
      <c r="D21" s="40">
        <f>SUM('ÖNK kiadás cofogra'!F201+'ÖNK kiadás cofogra'!F208)</f>
        <v>326504869.60000002</v>
      </c>
      <c r="E21" s="46">
        <f t="shared" si="2"/>
        <v>326504869.60000002</v>
      </c>
      <c r="F21" s="47">
        <f>SUM(E54)</f>
        <v>243223644</v>
      </c>
      <c r="G21" s="33" t="s">
        <v>1296</v>
      </c>
    </row>
    <row r="22" spans="1:7" x14ac:dyDescent="0.25">
      <c r="A22" s="643" t="s">
        <v>112</v>
      </c>
      <c r="B22" s="40">
        <f>SUM('ÖNK kiadás cofogra'!F157+'ÖNK kiadás cofogra'!F161)</f>
        <v>102400</v>
      </c>
      <c r="C22" s="60">
        <v>14500</v>
      </c>
      <c r="D22" s="60">
        <f>SUM('ÖNK kiadás cofogra'!F169)</f>
        <v>95000</v>
      </c>
      <c r="E22" s="46">
        <f t="shared" si="2"/>
        <v>197400</v>
      </c>
    </row>
    <row r="23" spans="1:7" x14ac:dyDescent="0.25">
      <c r="A23" s="643" t="s">
        <v>1264</v>
      </c>
      <c r="B23" s="40">
        <f>SUM('ÖNK kiadás cofogra'!E255+'ÖNK kiadás cofogra'!E257)</f>
        <v>0</v>
      </c>
      <c r="C23" s="60">
        <v>4163783</v>
      </c>
      <c r="D23" s="60">
        <f>SUM('ÖNK kiadás cofogra'!E265+'ÖNK kiadás cofogra'!E267)</f>
        <v>0</v>
      </c>
      <c r="E23" s="46">
        <f t="shared" si="2"/>
        <v>0</v>
      </c>
    </row>
    <row r="24" spans="1:7" x14ac:dyDescent="0.25">
      <c r="A24" s="643" t="s">
        <v>113</v>
      </c>
      <c r="B24" s="40">
        <v>0</v>
      </c>
      <c r="C24" s="40">
        <v>7815606</v>
      </c>
      <c r="D24" s="40">
        <f>SUM('ÖNK kiadás cofogra'!F316)</f>
        <v>5411000</v>
      </c>
      <c r="E24" s="46">
        <f t="shared" si="2"/>
        <v>5411000</v>
      </c>
    </row>
    <row r="25" spans="1:7" x14ac:dyDescent="0.25">
      <c r="A25" s="643" t="s">
        <v>114</v>
      </c>
      <c r="B25" s="40">
        <f>SUM('ÖNK kiadás cofogra'!F366+'ÖNK kiadás cofogra'!F375)</f>
        <v>2679347</v>
      </c>
      <c r="C25" s="40">
        <v>985142</v>
      </c>
      <c r="D25" s="40">
        <f>SUM('ÖNK kiadás cofogra'!F396)</f>
        <v>1517000</v>
      </c>
      <c r="E25" s="46">
        <f t="shared" si="2"/>
        <v>4196347</v>
      </c>
    </row>
    <row r="26" spans="1:7" x14ac:dyDescent="0.25">
      <c r="A26" s="643" t="s">
        <v>115</v>
      </c>
      <c r="B26" s="40">
        <v>0</v>
      </c>
      <c r="C26" s="40">
        <v>1386668</v>
      </c>
      <c r="D26" s="40">
        <f>SUM('ÖNK kiadás cofogra'!F714)</f>
        <v>10240000</v>
      </c>
      <c r="E26" s="46">
        <f t="shared" si="2"/>
        <v>10240000</v>
      </c>
    </row>
    <row r="27" spans="1:7" x14ac:dyDescent="0.25">
      <c r="A27" s="643" t="s">
        <v>116</v>
      </c>
      <c r="B27" s="40">
        <v>0</v>
      </c>
      <c r="C27" s="40">
        <v>677042</v>
      </c>
      <c r="D27" s="40">
        <f>SUM('ÖNK kiadás cofogra'!F416)</f>
        <v>1088000</v>
      </c>
      <c r="E27" s="46">
        <f t="shared" si="2"/>
        <v>1088000</v>
      </c>
    </row>
    <row r="28" spans="1:7" x14ac:dyDescent="0.25">
      <c r="A28" s="643" t="s">
        <v>117</v>
      </c>
      <c r="B28" s="40">
        <v>0</v>
      </c>
      <c r="C28" s="40">
        <v>1594507</v>
      </c>
      <c r="D28" s="40">
        <f>SUM('ÖNK kiadás cofogra'!F425)</f>
        <v>1591048</v>
      </c>
      <c r="E28" s="46">
        <f t="shared" si="2"/>
        <v>1591048</v>
      </c>
    </row>
    <row r="29" spans="1:7" x14ac:dyDescent="0.25">
      <c r="A29" s="643" t="s">
        <v>118</v>
      </c>
      <c r="B29" s="40">
        <f>SUM('ÖNK kiadás cofogra'!F452+'ÖNK kiadás cofogra'!F460)</f>
        <v>34326672.189999998</v>
      </c>
      <c r="C29" s="40">
        <v>2767914</v>
      </c>
      <c r="D29" s="40">
        <f>SUM('ÖNK kiadás cofogra'!F490)</f>
        <v>3189000</v>
      </c>
      <c r="E29" s="46">
        <f t="shared" si="2"/>
        <v>37515672.189999998</v>
      </c>
    </row>
    <row r="30" spans="1:7" x14ac:dyDescent="0.25">
      <c r="A30" s="643" t="s">
        <v>119</v>
      </c>
      <c r="B30" s="40">
        <f>SUM('ÖNK kiadás cofogra'!F511+'ÖNK kiadás cofogra'!F519)</f>
        <v>8460116.3300000001</v>
      </c>
      <c r="C30" s="40">
        <v>1001123</v>
      </c>
      <c r="D30" s="40">
        <f>SUM('ÖNK kiadás cofogra'!F551)</f>
        <v>1022000</v>
      </c>
      <c r="E30" s="46">
        <f t="shared" si="2"/>
        <v>9482116.3300000001</v>
      </c>
    </row>
    <row r="31" spans="1:7" x14ac:dyDescent="0.25">
      <c r="A31" s="643" t="s">
        <v>120</v>
      </c>
      <c r="B31" s="40">
        <v>0</v>
      </c>
      <c r="C31" s="40">
        <v>100569</v>
      </c>
      <c r="D31" s="40">
        <f>SUM('ÖNK kiadás cofogra'!F570)</f>
        <v>110000</v>
      </c>
      <c r="E31" s="46">
        <f t="shared" si="2"/>
        <v>110000</v>
      </c>
    </row>
    <row r="32" spans="1:7" x14ac:dyDescent="0.25">
      <c r="A32" s="643" t="s">
        <v>1395</v>
      </c>
      <c r="B32" s="40">
        <v>0</v>
      </c>
      <c r="C32" s="40">
        <v>218553</v>
      </c>
      <c r="D32" s="40">
        <v>0</v>
      </c>
      <c r="E32" s="46">
        <f t="shared" si="2"/>
        <v>0</v>
      </c>
    </row>
    <row r="33" spans="1:7" x14ac:dyDescent="0.25">
      <c r="A33" s="643" t="s">
        <v>1396</v>
      </c>
      <c r="B33" s="40">
        <v>0</v>
      </c>
      <c r="C33" s="40">
        <v>1062150</v>
      </c>
      <c r="D33" s="40">
        <f>SUM('ÖNK kiadás cofogra'!F724)</f>
        <v>2135000</v>
      </c>
      <c r="E33" s="46">
        <f t="shared" si="2"/>
        <v>2135000</v>
      </c>
    </row>
    <row r="34" spans="1:7" x14ac:dyDescent="0.25">
      <c r="A34" s="643" t="s">
        <v>121</v>
      </c>
      <c r="B34" s="40">
        <v>0</v>
      </c>
      <c r="C34" s="61">
        <v>3412310</v>
      </c>
      <c r="D34" s="61">
        <f>SUM('ÖNK kiadás cofogra'!F741)</f>
        <v>2355000</v>
      </c>
      <c r="E34" s="46">
        <f t="shared" si="2"/>
        <v>2355000</v>
      </c>
    </row>
    <row r="35" spans="1:7" x14ac:dyDescent="0.25">
      <c r="A35" s="643" t="s">
        <v>122</v>
      </c>
      <c r="B35" s="40">
        <v>0</v>
      </c>
      <c r="C35" s="61">
        <v>524786</v>
      </c>
      <c r="D35" s="61">
        <f>SUM('ÖNK kiadás cofogra'!F703)</f>
        <v>1236000</v>
      </c>
      <c r="E35" s="46">
        <f t="shared" si="2"/>
        <v>1236000</v>
      </c>
    </row>
    <row r="36" spans="1:7" x14ac:dyDescent="0.25">
      <c r="A36" s="643" t="s">
        <v>123</v>
      </c>
      <c r="B36" s="40">
        <f>SUM('ÖNK kiadás cofogra'!F218+'ÖNK kiadás cofogra'!F222)</f>
        <v>2682350</v>
      </c>
      <c r="C36" s="40">
        <v>9060</v>
      </c>
      <c r="D36" s="40">
        <f>SUM('ÖNK kiadás cofogra'!F229)</f>
        <v>78500</v>
      </c>
      <c r="E36" s="46">
        <f t="shared" si="2"/>
        <v>2760850</v>
      </c>
    </row>
    <row r="37" spans="1:7" x14ac:dyDescent="0.25">
      <c r="A37" s="643" t="s">
        <v>1392</v>
      </c>
      <c r="B37" s="40">
        <v>0</v>
      </c>
      <c r="C37" s="40">
        <v>70755</v>
      </c>
      <c r="D37" s="40">
        <f>SUM('ÖNK kiadás cofogra'!F579)</f>
        <v>95000</v>
      </c>
      <c r="E37" s="46">
        <f t="shared" si="2"/>
        <v>95000</v>
      </c>
    </row>
    <row r="38" spans="1:7" x14ac:dyDescent="0.25">
      <c r="A38" s="643" t="s">
        <v>124</v>
      </c>
      <c r="B38" s="40">
        <f>SUM('ÖNK kiadás cofogra'!F594+'ÖNK kiadás cofogra'!F602)</f>
        <v>1914267.5</v>
      </c>
      <c r="C38" s="40">
        <v>525804</v>
      </c>
      <c r="D38" s="40">
        <f>SUM('ÖNK kiadás cofogra'!F623)</f>
        <v>949000</v>
      </c>
      <c r="E38" s="46">
        <f t="shared" si="2"/>
        <v>2863267.5</v>
      </c>
    </row>
    <row r="39" spans="1:7" x14ac:dyDescent="0.25">
      <c r="A39" s="643" t="s">
        <v>1393</v>
      </c>
      <c r="B39" s="40">
        <f>SUM('ÖNK kiadás cofogra'!F639+'ÖNK kiadás cofogra'!F649)</f>
        <v>3700863.13</v>
      </c>
      <c r="C39" s="40">
        <v>5146151</v>
      </c>
      <c r="D39" s="40">
        <f>SUM('ÖNK kiadás cofogra'!F676+'ÖNK kiadás cofogra'!F681)</f>
        <v>20855003</v>
      </c>
      <c r="E39" s="46">
        <f t="shared" si="2"/>
        <v>24555866.129999999</v>
      </c>
    </row>
    <row r="40" spans="1:7" x14ac:dyDescent="0.25">
      <c r="A40" s="643" t="s">
        <v>1394</v>
      </c>
      <c r="B40" s="40">
        <v>0</v>
      </c>
      <c r="C40" s="40">
        <v>2083053</v>
      </c>
      <c r="D40" s="40">
        <f>SUM('ÖNK kiadás cofogra'!F691)</f>
        <v>0</v>
      </c>
      <c r="E40" s="46">
        <f t="shared" si="2"/>
        <v>0</v>
      </c>
    </row>
    <row r="41" spans="1:7" x14ac:dyDescent="0.25">
      <c r="A41" s="643" t="s">
        <v>125</v>
      </c>
      <c r="B41" s="40">
        <v>0</v>
      </c>
      <c r="C41" s="40">
        <v>59400</v>
      </c>
      <c r="D41" s="40">
        <f>SUM('ÖNK kiadás cofogra'!F96)</f>
        <v>107600</v>
      </c>
      <c r="E41" s="46">
        <f t="shared" si="2"/>
        <v>107600</v>
      </c>
    </row>
    <row r="42" spans="1:7" x14ac:dyDescent="0.25">
      <c r="A42" s="643" t="s">
        <v>126</v>
      </c>
      <c r="B42" s="40">
        <f>SUM('ÖNK kiadás cofogra'!F330+'ÖNK kiadás cofogra'!F337)</f>
        <v>5358694</v>
      </c>
      <c r="C42" s="40">
        <v>925536</v>
      </c>
      <c r="D42" s="40">
        <f>SUM('ÖNK kiadás cofogra'!F349)</f>
        <v>719000</v>
      </c>
      <c r="E42" s="46">
        <f t="shared" si="2"/>
        <v>6077694</v>
      </c>
    </row>
    <row r="43" spans="1:7" x14ac:dyDescent="0.25">
      <c r="A43" s="643" t="s">
        <v>1391</v>
      </c>
      <c r="B43" s="40">
        <v>0</v>
      </c>
      <c r="C43" s="40">
        <v>4665690</v>
      </c>
      <c r="D43" s="40">
        <f>SUM('ÖNK kiadás cofogra'!F305)</f>
        <v>36859504</v>
      </c>
      <c r="E43" s="46">
        <f t="shared" si="2"/>
        <v>36859504</v>
      </c>
    </row>
    <row r="44" spans="1:7" x14ac:dyDescent="0.25">
      <c r="A44" s="643" t="s">
        <v>1219</v>
      </c>
      <c r="B44" s="40">
        <v>0</v>
      </c>
      <c r="C44" s="40">
        <v>68420</v>
      </c>
      <c r="D44" s="40">
        <f>SUM('ÖNK kiadás cofogra'!F560)</f>
        <v>508000</v>
      </c>
      <c r="E44" s="46">
        <f t="shared" si="2"/>
        <v>508000</v>
      </c>
    </row>
    <row r="45" spans="1:7" x14ac:dyDescent="0.25">
      <c r="A45" s="643" t="s">
        <v>127</v>
      </c>
      <c r="B45" s="40"/>
      <c r="C45" s="40">
        <v>15223845</v>
      </c>
      <c r="D45" s="40">
        <f>SUM('ÖNK kiadás cofogra'!F184)</f>
        <v>9897132</v>
      </c>
      <c r="E45" s="46">
        <f t="shared" si="2"/>
        <v>9897132</v>
      </c>
    </row>
    <row r="46" spans="1:7" x14ac:dyDescent="0.25">
      <c r="A46" s="290" t="s">
        <v>108</v>
      </c>
      <c r="B46" s="353">
        <f>SUM(B17:B45)</f>
        <v>72230640.150000006</v>
      </c>
      <c r="C46" s="353">
        <f>SUM(C17:C45)</f>
        <v>194550332</v>
      </c>
      <c r="D46" s="353">
        <f>SUM(D17:D45)</f>
        <v>463983375.60000002</v>
      </c>
      <c r="E46" s="653">
        <f t="shared" si="2"/>
        <v>536214015.75</v>
      </c>
    </row>
    <row r="47" spans="1:7" x14ac:dyDescent="0.25">
      <c r="A47" s="37"/>
      <c r="B47" s="371">
        <f>SUM('ÖNK kiadás cofogra'!D745)</f>
        <v>75265980.150000006</v>
      </c>
      <c r="C47" s="371"/>
      <c r="D47" s="371">
        <f>SUM('ÖNK kiadás cofogra'!D746)</f>
        <v>460948035.60000002</v>
      </c>
      <c r="E47" s="372">
        <f>SUM('ÖNK kiadás cofogra'!D747)</f>
        <v>536214015.75</v>
      </c>
    </row>
    <row r="48" spans="1:7" x14ac:dyDescent="0.25">
      <c r="A48" s="354" t="s">
        <v>128</v>
      </c>
      <c r="B48" s="355">
        <f>B8+B12+B46</f>
        <v>146868045.75</v>
      </c>
      <c r="C48" s="355">
        <f>C8+C12+C46</f>
        <v>204840485</v>
      </c>
      <c r="D48" s="355">
        <f>D8+D12+D46</f>
        <v>474110375.60000002</v>
      </c>
      <c r="E48" s="356">
        <f>E8+E46+E12</f>
        <v>620978421.35000002</v>
      </c>
      <c r="G48" s="47"/>
    </row>
    <row r="49" spans="1:5" x14ac:dyDescent="0.25">
      <c r="A49" s="62"/>
      <c r="B49" s="63"/>
      <c r="C49" s="63"/>
      <c r="D49" s="63"/>
      <c r="E49" s="63"/>
    </row>
    <row r="50" spans="1:5" x14ac:dyDescent="0.25">
      <c r="A50" s="357" t="s">
        <v>100</v>
      </c>
      <c r="B50" s="40"/>
      <c r="C50" s="40"/>
      <c r="D50" s="40"/>
      <c r="E50" s="358">
        <f>SUM('Önkorm bevételek'!E127)</f>
        <v>620978421.75557935</v>
      </c>
    </row>
    <row r="51" spans="1:5" ht="15.75" thickBot="1" x14ac:dyDescent="0.3">
      <c r="A51" s="62"/>
      <c r="B51" s="63"/>
      <c r="C51" s="63"/>
      <c r="D51" s="63"/>
      <c r="E51" s="63"/>
    </row>
    <row r="52" spans="1:5" ht="15.75" thickBot="1" x14ac:dyDescent="0.3">
      <c r="A52" s="387" t="s">
        <v>1297</v>
      </c>
      <c r="B52" s="388"/>
      <c r="C52" s="388"/>
      <c r="D52" s="388"/>
      <c r="E52" s="389">
        <f>E50-E48</f>
        <v>0.4055793285369873</v>
      </c>
    </row>
    <row r="53" spans="1:5" ht="15.75" thickBot="1" x14ac:dyDescent="0.3">
      <c r="A53" s="32"/>
      <c r="B53" s="63"/>
      <c r="C53" s="63"/>
      <c r="D53" s="63"/>
      <c r="E53" s="63"/>
    </row>
    <row r="54" spans="1:5" ht="15.75" thickBot="1" x14ac:dyDescent="0.3">
      <c r="A54" s="390" t="s">
        <v>129</v>
      </c>
      <c r="B54" s="672"/>
      <c r="C54" s="672"/>
      <c r="D54" s="672"/>
      <c r="E54" s="391">
        <f>SUM('ÖNK kiadás cofogra'!E199)</f>
        <v>243223644</v>
      </c>
    </row>
    <row r="55" spans="1:5" x14ac:dyDescent="0.25">
      <c r="C55" s="64"/>
      <c r="D55" s="62"/>
      <c r="E55" s="64"/>
    </row>
    <row r="56" spans="1:5" x14ac:dyDescent="0.25">
      <c r="B56" s="47"/>
    </row>
  </sheetData>
  <mergeCells count="6">
    <mergeCell ref="A1:E1"/>
    <mergeCell ref="A4:A5"/>
    <mergeCell ref="B4:B5"/>
    <mergeCell ref="C4:D4"/>
    <mergeCell ref="E4:E5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D12" sqref="D12"/>
    </sheetView>
  </sheetViews>
  <sheetFormatPr defaultColWidth="9.140625" defaultRowHeight="15.75" x14ac:dyDescent="0.25"/>
  <cols>
    <col min="1" max="1" width="9.140625" style="68"/>
    <col min="2" max="2" width="57.42578125" style="68" customWidth="1"/>
    <col min="3" max="3" width="16.7109375" style="72" customWidth="1"/>
    <col min="4" max="4" width="9.140625" style="68"/>
    <col min="5" max="5" width="10.85546875" style="68" customWidth="1"/>
    <col min="6" max="16384" width="9.140625" style="68"/>
  </cols>
  <sheetData>
    <row r="3" spans="2:7" ht="21" customHeight="1" x14ac:dyDescent="0.25">
      <c r="B3" s="66" t="s">
        <v>166</v>
      </c>
      <c r="C3" s="67">
        <f>SUM(C4:C6)</f>
        <v>620978421.75557935</v>
      </c>
    </row>
    <row r="4" spans="2:7" ht="18" customHeight="1" x14ac:dyDescent="0.25">
      <c r="B4" s="69" t="s">
        <v>167</v>
      </c>
      <c r="C4" s="70">
        <f>SUM('Önkorm bevételek'!E124)</f>
        <v>276435905.15557933</v>
      </c>
    </row>
    <row r="5" spans="2:7" ht="21" customHeight="1" x14ac:dyDescent="0.25">
      <c r="B5" s="69" t="s">
        <v>168</v>
      </c>
      <c r="C5" s="70">
        <f>SUM('Önkorm bevételek'!E125)</f>
        <v>4988000</v>
      </c>
    </row>
    <row r="6" spans="2:7" ht="20.25" customHeight="1" x14ac:dyDescent="0.25">
      <c r="B6" s="69" t="s">
        <v>169</v>
      </c>
      <c r="C6" s="70">
        <f>SUM('Önkorm bevételek'!E126)</f>
        <v>339554516.60000002</v>
      </c>
    </row>
    <row r="7" spans="2:7" x14ac:dyDescent="0.25">
      <c r="B7" s="71"/>
    </row>
    <row r="8" spans="2:7" ht="22.5" customHeight="1" x14ac:dyDescent="0.25">
      <c r="B8" s="66" t="s">
        <v>170</v>
      </c>
      <c r="C8" s="67">
        <f>SUM(C9:C12)</f>
        <v>620978421.35000002</v>
      </c>
    </row>
    <row r="9" spans="2:7" ht="25.5" customHeight="1" x14ac:dyDescent="0.25">
      <c r="B9" s="69" t="s">
        <v>171</v>
      </c>
      <c r="C9" s="73">
        <f>SUM('Kiadások összesen'!D75-'Kiadások összesen'!D72)</f>
        <v>241188923.75</v>
      </c>
      <c r="E9" s="71"/>
    </row>
    <row r="10" spans="2:7" ht="21.75" customHeight="1" x14ac:dyDescent="0.25">
      <c r="B10" s="69" t="s">
        <v>172</v>
      </c>
      <c r="C10" s="73">
        <f>SUM('Kiadások ÖNK'!D98)</f>
        <v>53585964</v>
      </c>
      <c r="E10" s="71"/>
    </row>
    <row r="11" spans="2:7" ht="22.5" customHeight="1" x14ac:dyDescent="0.25">
      <c r="B11" s="69" t="s">
        <v>173</v>
      </c>
      <c r="C11" s="73">
        <f>SUM('Kiadások ÖNK'!D72)</f>
        <v>243223644</v>
      </c>
      <c r="G11" s="71"/>
    </row>
    <row r="12" spans="2:7" ht="22.5" customHeight="1" x14ac:dyDescent="0.25">
      <c r="B12" s="69" t="s">
        <v>174</v>
      </c>
      <c r="C12" s="73">
        <f>SUM('Kiadások ÖNK'!D115)</f>
        <v>82979889.599999994</v>
      </c>
    </row>
    <row r="14" spans="2:7" x14ac:dyDescent="0.25">
      <c r="B14" s="68" t="s">
        <v>818</v>
      </c>
      <c r="C14" s="72">
        <f>C6-C12</f>
        <v>256574627.00000003</v>
      </c>
      <c r="E14" s="72"/>
    </row>
    <row r="15" spans="2:7" x14ac:dyDescent="0.25">
      <c r="B15" s="68" t="s">
        <v>817</v>
      </c>
      <c r="C15" s="72">
        <f>SUM('ÖNK bevétel cofogra'!E232+'KÖH bevétel'!E11)</f>
        <v>260079291</v>
      </c>
    </row>
    <row r="16" spans="2:7" x14ac:dyDescent="0.25">
      <c r="B16" s="68" t="s">
        <v>816</v>
      </c>
      <c r="C16" s="72">
        <f>C15-C14</f>
        <v>3504663.9999999702</v>
      </c>
    </row>
    <row r="19" spans="3:3" x14ac:dyDescent="0.25">
      <c r="C19" s="72">
        <f>SUM(C3-C8)</f>
        <v>0.4055793285369873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15</vt:i4>
      </vt:variant>
    </vt:vector>
  </HeadingPairs>
  <TitlesOfParts>
    <vt:vector size="41" baseType="lpstr">
      <vt:lpstr>Személyi Önkormányzat</vt:lpstr>
      <vt:lpstr>Személyi KÖH</vt:lpstr>
      <vt:lpstr>KÖH kiadás</vt:lpstr>
      <vt:lpstr>KÖH bevétel</vt:lpstr>
      <vt:lpstr>ÖNK kiadás cofogra</vt:lpstr>
      <vt:lpstr>ÖNK bevétel cofogra</vt:lpstr>
      <vt:lpstr>Önkorm bevételek</vt:lpstr>
      <vt:lpstr>Önkorm. kiadások</vt:lpstr>
      <vt:lpstr>Rendeletbe</vt:lpstr>
      <vt:lpstr>Kiemelt EI.</vt:lpstr>
      <vt:lpstr>Kiadások ÖNK</vt:lpstr>
      <vt:lpstr>Kiadások KÖH</vt:lpstr>
      <vt:lpstr>Kiadások összesen</vt:lpstr>
      <vt:lpstr>Bevételek ÖNK</vt:lpstr>
      <vt:lpstr>Bevételek KÖH</vt:lpstr>
      <vt:lpstr>Bevételek összesen</vt:lpstr>
      <vt:lpstr>Átvett pe.</vt:lpstr>
      <vt:lpstr>Átadott pe.</vt:lpstr>
      <vt:lpstr>Szociális kiadások</vt:lpstr>
      <vt:lpstr>Tartalékok</vt:lpstr>
      <vt:lpstr>Beruházások felújítások</vt:lpstr>
      <vt:lpstr>Helyi adók</vt:lpstr>
      <vt:lpstr>Létszám </vt:lpstr>
      <vt:lpstr>Intfin</vt:lpstr>
      <vt:lpstr>Gördülő</vt:lpstr>
      <vt:lpstr>Táblázat KÖH határozatba</vt:lpstr>
      <vt:lpstr>'Átadott pe.'!Nyomtatási_terület</vt:lpstr>
      <vt:lpstr>'Átvett pe.'!Nyomtatási_terület</vt:lpstr>
      <vt:lpstr>'Beruházások felújítások'!Nyomtatási_terület</vt:lpstr>
      <vt:lpstr>'Bevételek KÖH'!Nyomtatási_terület</vt:lpstr>
      <vt:lpstr>'Bevételek ÖNK'!Nyomtatási_terület</vt:lpstr>
      <vt:lpstr>'Bevételek összesen'!Nyomtatási_terület</vt:lpstr>
      <vt:lpstr>'Kiadások KÖH'!Nyomtatási_terület</vt:lpstr>
      <vt:lpstr>'Kiadások ÖNK'!Nyomtatási_terület</vt:lpstr>
      <vt:lpstr>'Kiadások összesen'!Nyomtatási_terület</vt:lpstr>
      <vt:lpstr>'Kiemelt EI.'!Nyomtatási_terület</vt:lpstr>
      <vt:lpstr>'Önkorm bevételek'!Nyomtatási_terület</vt:lpstr>
      <vt:lpstr>'Önkorm. kiadások'!Nyomtatási_terület</vt:lpstr>
      <vt:lpstr>'Személyi KÖH'!Nyomtatási_terület</vt:lpstr>
      <vt:lpstr>'Szociális kiadások'!Nyomtatási_terület</vt:lpstr>
      <vt:lpstr>Tartalékok!Nyomtatási_terület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Felhasznalo4</dc:creator>
  <cp:lastModifiedBy>Windows-felhasználó</cp:lastModifiedBy>
  <cp:lastPrinted>2022-01-27T14:25:55Z</cp:lastPrinted>
  <dcterms:created xsi:type="dcterms:W3CDTF">2015-06-05T18:19:34Z</dcterms:created>
  <dcterms:modified xsi:type="dcterms:W3CDTF">2022-02-15T11:51:02Z</dcterms:modified>
</cp:coreProperties>
</file>